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skigo\Bitrix24\Правила предоставления займов\"/>
    </mc:Choice>
  </mc:AlternateContent>
  <xr:revisionPtr revIDLastSave="0" documentId="13_ncr:1_{938322C4-C826-4778-99FA-A74F60ABBE02}" xr6:coauthVersionLast="44" xr6:coauthVersionMax="44" xr10:uidLastSave="{00000000-0000-0000-0000-000000000000}"/>
  <bookViews>
    <workbookView xWindow="-120" yWindow="-120" windowWidth="29040" windowHeight="15840" xr2:uid="{3A83A8BC-D93B-4182-B468-98E4C3AFFE4D}"/>
  </bookViews>
  <sheets>
    <sheet name="Главная" sheetId="3" r:id="rId1"/>
    <sheet name="Тест-опросник" sheetId="1" r:id="rId2"/>
    <sheet name="Кредитный калькулятор" sheetId="4" r:id="rId3"/>
    <sheet name="Неравномерный_график" sheetId="6" r:id="rId4"/>
    <sheet name="Лист1" sheetId="5" state="hidden" r:id="rId5"/>
  </sheets>
  <externalReferences>
    <externalReference r:id="rId6"/>
  </externalReferences>
  <definedNames>
    <definedName name="CQAHD">Лист1!$A$10:$A$13</definedName>
    <definedName name="CRWQC">[1]Характеристика!$B$14:$B$15</definedName>
    <definedName name="DPARP">'[1]Оценка обеспечения'!$B$32:$B$33</definedName>
    <definedName name="ETWKS">#REF!</definedName>
    <definedName name="FANAN">'[1]Финансовая оценка'!$B$23:$B$25</definedName>
    <definedName name="GSYAN">'[1]Оценка обеспечения'!$B$35:$B$37</definedName>
    <definedName name="HLNNW">[1]Характеристика!$B$34:$B$35</definedName>
    <definedName name="IAPTL">[1]Характеристика!$B$28:$B$29</definedName>
    <definedName name="ISQYG">'[1]Финансовая оценка'!$B$17:$B$21</definedName>
    <definedName name="IXEVK">#REF!</definedName>
    <definedName name="JIHBJ">[1]Характеристика!$B$37:$B$42</definedName>
    <definedName name="MBKLP">[1]Характеристика!$B$17:$B$19</definedName>
    <definedName name="MRVMT">[1]Характеристика!$B$50:$B$54</definedName>
    <definedName name="NAQJH">#REF!</definedName>
    <definedName name="NHFJF">#REF!</definedName>
    <definedName name="OPXSE">[1]Характеристика!$B$59:$B$63</definedName>
    <definedName name="OUVVF">[1]Характеристика!$B$5:$B$9</definedName>
    <definedName name="PFFGP">[1]ОКВЭД!$A$42:$A$45</definedName>
    <definedName name="PVLGS">'[1]Оценка обеспечения'!$B$52:$B$55</definedName>
    <definedName name="SLHJI">Лист1!$A$19:$A$22</definedName>
    <definedName name="SMJRN">#REF!</definedName>
    <definedName name="SOPTP">#REF!</definedName>
    <definedName name="SWSXE">[1]Характеристика!$B$21:$B$26</definedName>
    <definedName name="TXHFJ">[1]ОКВЭД!$A$4:$A$38</definedName>
    <definedName name="UOSUB">'[1]Оценка проекта'!$B$13:$B$16</definedName>
    <definedName name="VLMMV">[1]Характеристика!$B$31:$B$32</definedName>
    <definedName name="VWBGI">[1]Характеристика!$B$56:$B$57</definedName>
    <definedName name="WFJMM">[1]Характеристика!$B$44:$B$48</definedName>
    <definedName name="XDBDY">[1]Характеристика!$B$11:$B$12</definedName>
    <definedName name="XHVVM">#REF!</definedName>
    <definedName name="XJFJG">#REF!</definedName>
    <definedName name="XYBNK">#REF!</definedName>
    <definedName name="YAVDG">#REF!</definedName>
    <definedName name="Неравномерный">Неравномерный_график!$F$17</definedName>
    <definedName name="_xlnm.Print_Area" localSheetId="2">'Кредитный калькулятор'!$B$1:$I$53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D26" i="1"/>
  <c r="B3" i="1"/>
  <c r="B54" i="4"/>
  <c r="B7" i="4" l="1"/>
  <c r="I9" i="6" l="1"/>
  <c r="I12" i="6" s="1"/>
  <c r="I7" i="6"/>
  <c r="I6" i="6"/>
  <c r="D17" i="6" s="1"/>
  <c r="B8" i="6"/>
  <c r="B4" i="6"/>
  <c r="H9" i="6" s="1"/>
  <c r="E53" i="6"/>
  <c r="I2" i="6"/>
  <c r="B9" i="4"/>
  <c r="A1" i="5"/>
  <c r="D5" i="5" s="1"/>
  <c r="B22" i="5"/>
  <c r="B21" i="5"/>
  <c r="B20" i="5"/>
  <c r="B19" i="5"/>
  <c r="B13" i="5"/>
  <c r="B12" i="5"/>
  <c r="B11" i="5"/>
  <c r="B10" i="5"/>
  <c r="A3" i="5"/>
  <c r="A4" i="5"/>
  <c r="A5" i="5"/>
  <c r="A2" i="5"/>
  <c r="E1" i="5"/>
  <c r="D1" i="5"/>
  <c r="C1" i="5"/>
  <c r="B1" i="5"/>
  <c r="H9" i="4"/>
  <c r="B9" i="6" l="1"/>
  <c r="D18" i="6"/>
  <c r="A17" i="6"/>
  <c r="A18" i="6" s="1"/>
  <c r="A19" i="6" s="1"/>
  <c r="A20" i="6" s="1"/>
  <c r="C4" i="5"/>
  <c r="D4" i="5"/>
  <c r="E4" i="5"/>
  <c r="E3" i="5"/>
  <c r="C5" i="5"/>
  <c r="E5" i="5"/>
  <c r="D3" i="5"/>
  <c r="C3" i="5"/>
  <c r="B16" i="5"/>
  <c r="B25" i="5"/>
  <c r="I2" i="4"/>
  <c r="I10" i="4" s="1"/>
  <c r="H4" i="4"/>
  <c r="E7" i="5"/>
  <c r="B5" i="4"/>
  <c r="H4" i="6"/>
  <c r="B5" i="6" l="1"/>
  <c r="H8" i="4"/>
  <c r="H6" i="4" s="1"/>
  <c r="I5" i="4" s="1"/>
  <c r="H8" i="6"/>
  <c r="H6" i="6" s="1"/>
  <c r="A21" i="6"/>
  <c r="A22" i="6" s="1"/>
  <c r="A23" i="6" s="1"/>
  <c r="A24" i="6" s="1"/>
  <c r="A25" i="6" s="1"/>
  <c r="A26" i="6" s="1"/>
  <c r="A27" i="6" s="1"/>
  <c r="A28" i="6" s="1"/>
  <c r="F53" i="6"/>
  <c r="D19" i="6"/>
  <c r="I10" i="6"/>
  <c r="I8" i="4"/>
  <c r="E53" i="4"/>
  <c r="D17" i="4"/>
  <c r="G17" i="4" l="1"/>
  <c r="I8" i="6"/>
  <c r="G15" i="6" s="1"/>
  <c r="C17" i="4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D20" i="6"/>
  <c r="I12" i="4"/>
  <c r="G20" i="6" l="1"/>
  <c r="G19" i="6"/>
  <c r="I19" i="6" s="1"/>
  <c r="G17" i="6"/>
  <c r="I17" i="6" s="1"/>
  <c r="G18" i="6"/>
  <c r="I18" i="6" s="1"/>
  <c r="D21" i="6"/>
  <c r="G21" i="6" s="1"/>
  <c r="F41" i="4"/>
  <c r="F45" i="4"/>
  <c r="F49" i="4"/>
  <c r="F48" i="4"/>
  <c r="F42" i="4"/>
  <c r="F46" i="4"/>
  <c r="F50" i="4"/>
  <c r="F43" i="4"/>
  <c r="F47" i="4"/>
  <c r="F51" i="4"/>
  <c r="F44" i="4"/>
  <c r="F52" i="4"/>
  <c r="F18" i="4"/>
  <c r="F22" i="4"/>
  <c r="F26" i="4"/>
  <c r="F30" i="4"/>
  <c r="F34" i="4"/>
  <c r="F38" i="4"/>
  <c r="F29" i="4"/>
  <c r="F17" i="4"/>
  <c r="A17" i="4" s="1"/>
  <c r="F19" i="4"/>
  <c r="F23" i="4"/>
  <c r="F27" i="4"/>
  <c r="F31" i="4"/>
  <c r="F35" i="4"/>
  <c r="F39" i="4"/>
  <c r="F33" i="4"/>
  <c r="F20" i="4"/>
  <c r="F24" i="4"/>
  <c r="F28" i="4"/>
  <c r="F32" i="4"/>
  <c r="F36" i="4"/>
  <c r="F40" i="4"/>
  <c r="F25" i="4"/>
  <c r="F21" i="4"/>
  <c r="F37" i="4"/>
  <c r="I20" i="6" l="1"/>
  <c r="D22" i="6"/>
  <c r="G22" i="6" s="1"/>
  <c r="I21" i="6"/>
  <c r="D18" i="4"/>
  <c r="G18" i="4" s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F53" i="4"/>
  <c r="D19" i="4" l="1"/>
  <c r="C18" i="4"/>
  <c r="D23" i="6"/>
  <c r="G23" i="6" s="1"/>
  <c r="D20" i="4" l="1"/>
  <c r="G20" i="4" s="1"/>
  <c r="G19" i="4"/>
  <c r="C19" i="4"/>
  <c r="C20" i="4" s="1"/>
  <c r="I22" i="6"/>
  <c r="D24" i="6"/>
  <c r="G24" i="6" s="1"/>
  <c r="I23" i="6"/>
  <c r="D21" i="4"/>
  <c r="G21" i="4" s="1"/>
  <c r="C21" i="4" l="1"/>
  <c r="I24" i="6"/>
  <c r="D25" i="6"/>
  <c r="G25" i="6" s="1"/>
  <c r="D22" i="4"/>
  <c r="G22" i="4" s="1"/>
  <c r="C22" i="4" l="1"/>
  <c r="D26" i="6"/>
  <c r="G26" i="6" s="1"/>
  <c r="I25" i="6"/>
  <c r="D23" i="4"/>
  <c r="G23" i="4" s="1"/>
  <c r="C23" i="4" l="1"/>
  <c r="I26" i="6"/>
  <c r="D27" i="6"/>
  <c r="G27" i="6" s="1"/>
  <c r="D24" i="4"/>
  <c r="G24" i="4" s="1"/>
  <c r="C24" i="4" l="1"/>
  <c r="D28" i="6"/>
  <c r="G28" i="6" s="1"/>
  <c r="I27" i="6"/>
  <c r="D25" i="4"/>
  <c r="G25" i="4" s="1"/>
  <c r="C25" i="4" l="1"/>
  <c r="D29" i="6"/>
  <c r="G29" i="6" s="1"/>
  <c r="I28" i="6"/>
  <c r="D26" i="4"/>
  <c r="G26" i="4" s="1"/>
  <c r="C26" i="4" l="1"/>
  <c r="D30" i="6"/>
  <c r="G30" i="6" s="1"/>
  <c r="I29" i="6"/>
  <c r="D27" i="4"/>
  <c r="G27" i="4" s="1"/>
  <c r="C27" i="4" l="1"/>
  <c r="I30" i="6"/>
  <c r="D31" i="6"/>
  <c r="G31" i="6" s="1"/>
  <c r="D28" i="4"/>
  <c r="G28" i="4" s="1"/>
  <c r="C28" i="4" l="1"/>
  <c r="I31" i="6"/>
  <c r="D32" i="6"/>
  <c r="G32" i="6" s="1"/>
  <c r="D29" i="4"/>
  <c r="G29" i="4" s="1"/>
  <c r="C29" i="4" l="1"/>
  <c r="D33" i="6"/>
  <c r="G33" i="6" s="1"/>
  <c r="I32" i="6"/>
  <c r="D30" i="4"/>
  <c r="G30" i="4" s="1"/>
  <c r="C30" i="4" l="1"/>
  <c r="D34" i="6"/>
  <c r="G34" i="6" s="1"/>
  <c r="I33" i="6"/>
  <c r="D31" i="4"/>
  <c r="G31" i="4" s="1"/>
  <c r="C31" i="4" l="1"/>
  <c r="I34" i="6"/>
  <c r="D35" i="6"/>
  <c r="G35" i="6" s="1"/>
  <c r="D32" i="4"/>
  <c r="G32" i="4" s="1"/>
  <c r="C32" i="4" l="1"/>
  <c r="I35" i="6"/>
  <c r="D36" i="6"/>
  <c r="G36" i="6" s="1"/>
  <c r="D33" i="4"/>
  <c r="G33" i="4" s="1"/>
  <c r="C33" i="4" l="1"/>
  <c r="I36" i="6"/>
  <c r="D37" i="6"/>
  <c r="G37" i="6" s="1"/>
  <c r="D34" i="4"/>
  <c r="G34" i="4" s="1"/>
  <c r="C34" i="4" l="1"/>
  <c r="I37" i="6"/>
  <c r="D38" i="6"/>
  <c r="G38" i="6" s="1"/>
  <c r="D35" i="4"/>
  <c r="G35" i="4" s="1"/>
  <c r="I34" i="4"/>
  <c r="C35" i="4" l="1"/>
  <c r="D39" i="6"/>
  <c r="G39" i="6" s="1"/>
  <c r="I38" i="6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5" i="4"/>
  <c r="D36" i="4"/>
  <c r="G36" i="4" s="1"/>
  <c r="C36" i="4" l="1"/>
  <c r="I39" i="6"/>
  <c r="D40" i="6"/>
  <c r="G40" i="6" s="1"/>
  <c r="I17" i="4"/>
  <c r="D37" i="4"/>
  <c r="G37" i="4" s="1"/>
  <c r="I36" i="4"/>
  <c r="C37" i="4" l="1"/>
  <c r="I40" i="6"/>
  <c r="D41" i="6"/>
  <c r="G41" i="6" s="1"/>
  <c r="D38" i="4"/>
  <c r="G38" i="4" s="1"/>
  <c r="I37" i="4"/>
  <c r="C38" i="4" l="1"/>
  <c r="I41" i="6"/>
  <c r="D42" i="6"/>
  <c r="G42" i="6" s="1"/>
  <c r="D39" i="4"/>
  <c r="G39" i="4" s="1"/>
  <c r="C39" i="4" l="1"/>
  <c r="D43" i="6"/>
  <c r="G43" i="6" s="1"/>
  <c r="I42" i="6"/>
  <c r="I38" i="4"/>
  <c r="I39" i="4"/>
  <c r="D40" i="4"/>
  <c r="G40" i="4" s="1"/>
  <c r="C26" i="1"/>
  <c r="B26" i="1" s="1"/>
  <c r="C17" i="1"/>
  <c r="B17" i="1" s="1"/>
  <c r="C12" i="1"/>
  <c r="E27" i="1"/>
  <c r="C40" i="4" l="1"/>
  <c r="I43" i="6"/>
  <c r="D44" i="6"/>
  <c r="G44" i="6" s="1"/>
  <c r="D41" i="4"/>
  <c r="G41" i="4" s="1"/>
  <c r="B12" i="1"/>
  <c r="C41" i="4" l="1"/>
  <c r="B27" i="1"/>
  <c r="B29" i="1" s="1"/>
  <c r="I44" i="6"/>
  <c r="D45" i="6"/>
  <c r="G45" i="6" s="1"/>
  <c r="I40" i="4"/>
  <c r="D42" i="4"/>
  <c r="G42" i="4" s="1"/>
  <c r="I41" i="4"/>
  <c r="C42" i="4" l="1"/>
  <c r="I45" i="6"/>
  <c r="D46" i="6"/>
  <c r="G46" i="6" s="1"/>
  <c r="I42" i="4"/>
  <c r="D43" i="4"/>
  <c r="G43" i="4" s="1"/>
  <c r="C43" i="4" l="1"/>
  <c r="D47" i="6"/>
  <c r="G47" i="6" s="1"/>
  <c r="I46" i="6"/>
  <c r="D44" i="4"/>
  <c r="G44" i="4" s="1"/>
  <c r="C44" i="4" l="1"/>
  <c r="I47" i="6"/>
  <c r="D48" i="6"/>
  <c r="G48" i="6" s="1"/>
  <c r="I43" i="4"/>
  <c r="D45" i="4"/>
  <c r="G45" i="4" s="1"/>
  <c r="I44" i="4"/>
  <c r="C45" i="4" l="1"/>
  <c r="I48" i="6"/>
  <c r="D49" i="6"/>
  <c r="G49" i="6" s="1"/>
  <c r="D46" i="4"/>
  <c r="G46" i="4" s="1"/>
  <c r="I45" i="4"/>
  <c r="C46" i="4" l="1"/>
  <c r="I49" i="6"/>
  <c r="D50" i="6"/>
  <c r="G50" i="6" s="1"/>
  <c r="I46" i="4"/>
  <c r="D47" i="4"/>
  <c r="G47" i="4" s="1"/>
  <c r="C47" i="4" l="1"/>
  <c r="D51" i="6"/>
  <c r="G51" i="6" s="1"/>
  <c r="I50" i="6"/>
  <c r="I47" i="4"/>
  <c r="D48" i="4"/>
  <c r="G48" i="4" s="1"/>
  <c r="C48" i="4" l="1"/>
  <c r="I51" i="6"/>
  <c r="D52" i="6"/>
  <c r="G52" i="6" s="1"/>
  <c r="D49" i="4"/>
  <c r="G49" i="4" s="1"/>
  <c r="I48" i="4"/>
  <c r="C49" i="4" l="1"/>
  <c r="I52" i="6"/>
  <c r="I53" i="6" s="1"/>
  <c r="G53" i="6"/>
  <c r="I13" i="6" s="1"/>
  <c r="I49" i="4"/>
  <c r="D50" i="4"/>
  <c r="G50" i="4" s="1"/>
  <c r="C50" i="4" l="1"/>
  <c r="I50" i="4"/>
  <c r="D51" i="4"/>
  <c r="G51" i="4" s="1"/>
  <c r="C51" i="4" l="1"/>
  <c r="I51" i="4"/>
  <c r="D52" i="4"/>
  <c r="G52" i="4" s="1"/>
  <c r="C52" i="4" l="1"/>
  <c r="I52" i="4" l="1"/>
  <c r="I53" i="4" s="1"/>
  <c r="G53" i="4"/>
  <c r="I13" i="4" s="1"/>
</calcChain>
</file>

<file path=xl/sharedStrings.xml><?xml version="1.0" encoding="utf-8"?>
<sst xmlns="http://schemas.openxmlformats.org/spreadsheetml/2006/main" count="98" uniqueCount="82">
  <si>
    <t>ДА</t>
  </si>
  <si>
    <t>НЕТ</t>
  </si>
  <si>
    <t>Заявитель находится в реестре субъектов МСП на сайте ФНС (https://ofd.nalog.ru/)</t>
  </si>
  <si>
    <t>Заявитель зарегистрирован в качестве налогоплательщика на территории Московской области</t>
  </si>
  <si>
    <t>В отношении Заявителя не применяется процедура банкротства</t>
  </si>
  <si>
    <t>Основные требования:</t>
  </si>
  <si>
    <t>Заявитель (или связанное лицо) находится в списке недобросовестных заёмщиков фонда</t>
  </si>
  <si>
    <t>Заявитель осуществляет производство или оптовую торговлю подакцизными товарами</t>
  </si>
  <si>
    <t>Заявитель осуществляет розничную торговлю алкогольной и табачной продукцией в специализированном магазине</t>
  </si>
  <si>
    <t>Безусловные стоп-факторы:</t>
  </si>
  <si>
    <t>Условные (аналитические) стоп-факторы:</t>
  </si>
  <si>
    <t xml:space="preserve">Наличие просроченной задолженности по долговым обязательствам у заявителя, тесно связанного лица или бенефициара </t>
  </si>
  <si>
    <t>Наличие задолженности по налогам и сборам</t>
  </si>
  <si>
    <t>Наличие обеспечения (залога/поручительства), кроме беззалоговых программ</t>
  </si>
  <si>
    <t>Высокий риск недофинансирования проекта (для начинающих)</t>
  </si>
  <si>
    <t>Убыточная деятельность  (кроме начинающих)</t>
  </si>
  <si>
    <t>Высокий уровень закредитованности (кроме начинающих)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</si>
  <si>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</si>
  <si>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</si>
  <si>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</si>
  <si>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</si>
  <si>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</si>
  <si>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</si>
  <si>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</si>
  <si>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</si>
  <si>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</si>
  <si>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3</t>
  </si>
  <si>
    <t>3.1</t>
  </si>
  <si>
    <t>3.2</t>
  </si>
  <si>
    <t>3.3</t>
  </si>
  <si>
    <t>3.4</t>
  </si>
  <si>
    <t>3.5</t>
  </si>
  <si>
    <t>3.6</t>
  </si>
  <si>
    <t>3.7</t>
  </si>
  <si>
    <t>Таблица для самотестирования возможности получения микрозайма</t>
  </si>
  <si>
    <t>Заявитель готов предоставить поручительство владельцев бизнеса (бенефициаров)</t>
  </si>
  <si>
    <t>1.6</t>
  </si>
  <si>
    <t>Заявитель имеет расчетный счет в банке</t>
  </si>
  <si>
    <t xml:space="preserve">"Плохая" кредитная история заявителя или бенефициара </t>
  </si>
  <si>
    <t>Наличие неисполненных заявителем или бенефициаром судебных решений на существенную сумму</t>
  </si>
  <si>
    <t>Программа развития малого и среднего предпринимательства Правительства Московской области</t>
  </si>
  <si>
    <t>Предоставление микрозаймов для развития бизнеса</t>
  </si>
  <si>
    <t>Количество месяцев выплаты основного долга</t>
  </si>
  <si>
    <t>Остаток займа</t>
  </si>
  <si>
    <t>Корректировка графика</t>
  </si>
  <si>
    <t>Сумма процентов</t>
  </si>
  <si>
    <t>ИТОГО</t>
  </si>
  <si>
    <t>Месяцы</t>
  </si>
  <si>
    <t>Сумма погашения основного долга</t>
  </si>
  <si>
    <t>Сумма платежа (3+4)</t>
  </si>
  <si>
    <t>Выберите программу</t>
  </si>
  <si>
    <t>Программы</t>
  </si>
  <si>
    <t>"На приобретение онлайн-кассы"</t>
  </si>
  <si>
    <t>Проценты за пользование займом за весь период  (руб.)</t>
  </si>
  <si>
    <t>Категория</t>
  </si>
  <si>
    <t>Описание</t>
  </si>
  <si>
    <t>Приоритетный вид деятельности (п.1 прил.4)</t>
  </si>
  <si>
    <t>Выберите категорию заёмщика</t>
  </si>
  <si>
    <r>
      <t xml:space="preserve">Планируемый календарный </t>
    </r>
    <r>
      <rPr>
        <b/>
        <sz val="12"/>
        <color theme="1"/>
        <rFont val="Times New Roman"/>
        <family val="1"/>
        <charset val="204"/>
      </rPr>
      <t>месяц</t>
    </r>
    <r>
      <rPr>
        <sz val="12"/>
        <color theme="1"/>
        <rFont val="Times New Roman"/>
        <family val="1"/>
        <charset val="204"/>
      </rPr>
      <t xml:space="preserve"> подачи заявки (1-12)</t>
    </r>
  </si>
  <si>
    <r>
      <t xml:space="preserve">Введите </t>
    </r>
    <r>
      <rPr>
        <b/>
        <sz val="12"/>
        <color theme="1"/>
        <rFont val="Times New Roman"/>
        <family val="1"/>
        <charset val="204"/>
      </rPr>
      <t>сумму займа</t>
    </r>
    <r>
      <rPr>
        <sz val="12"/>
        <color theme="1"/>
        <rFont val="Times New Roman"/>
        <family val="1"/>
        <charset val="204"/>
      </rPr>
      <t xml:space="preserve"> (в рублях)</t>
    </r>
  </si>
  <si>
    <t>Нет в перечне приоритетов*</t>
  </si>
  <si>
    <t>Приоритетная категория (п.2 прил.4)*</t>
  </si>
  <si>
    <t>* при условии предоставления достаточного залогового обеспечения</t>
  </si>
  <si>
    <t>Общая (основная) программа</t>
  </si>
  <si>
    <t>"Начни своё дело" (спецпрограмма)</t>
  </si>
  <si>
    <t>Московский областной фонд микрофинансирования</t>
  </si>
  <si>
    <t>Важно!!! Данный график платежей является ОРИЕНТИРОВОЧНЫМ и будет уточнён в договоре займа</t>
  </si>
  <si>
    <t>№</t>
  </si>
  <si>
    <r>
      <t>"Кредитный калькулятор"</t>
    </r>
    <r>
      <rPr>
        <sz val="12"/>
        <color indexed="8"/>
        <rFont val="Times New Roman"/>
        <family val="1"/>
        <charset val="204"/>
      </rPr>
      <t xml:space="preserve"> равномерного графика с отсрочкой</t>
    </r>
  </si>
  <si>
    <r>
      <t xml:space="preserve">Введите действующую </t>
    </r>
    <r>
      <rPr>
        <b/>
        <sz val="12"/>
        <color theme="1"/>
        <rFont val="Times New Roman"/>
        <family val="1"/>
        <charset val="204"/>
      </rPr>
      <t>ключевую ставку</t>
    </r>
    <r>
      <rPr>
        <sz val="12"/>
        <color theme="1"/>
        <rFont val="Times New Roman"/>
        <family val="1"/>
        <charset val="204"/>
      </rPr>
      <t xml:space="preserve"> Банка России (%)</t>
    </r>
  </si>
  <si>
    <r>
      <rPr>
        <b/>
        <sz val="12"/>
        <color theme="1"/>
        <rFont val="Times New Roman"/>
        <family val="1"/>
        <charset val="204"/>
      </rPr>
      <t>Отсрочка</t>
    </r>
    <r>
      <rPr>
        <sz val="12"/>
        <color theme="1"/>
        <rFont val="Times New Roman"/>
        <family val="1"/>
        <charset val="204"/>
      </rPr>
      <t xml:space="preserve"> выплаты основного долга (мес.) (если нет - 0)</t>
    </r>
  </si>
  <si>
    <t>© 2019 Микрокредитная компания "Московский областной фонд микрофинансирования субъектов малого и среднего предпринимательства"   Вер. 1.09.19</t>
  </si>
  <si>
    <t>-</t>
  </si>
  <si>
    <t xml:space="preserve"> - поле для ввода информации</t>
  </si>
  <si>
    <t>Сумма до 5 000 000 руб., срок до 36 мес., залог</t>
  </si>
  <si>
    <t>Сумма до 500 000 руб., срок до 36 мес., без залога, начинающим до 1 года</t>
  </si>
  <si>
    <t>Сумма до 100 000 руб., срок до 12 мес., без залога</t>
  </si>
  <si>
    <t xml:space="preserve"> - некорректное значение или отрицательный фактор</t>
  </si>
  <si>
    <t>"Кредитный калькулятор". Неравномерный (ручной) график.</t>
  </si>
  <si>
    <t>Дополнительно к равномерному графику Вы можете рассчитать произвольный график платежей. Для этого введите в выделенные ячейки суммы погашения основного долга по месяцам. Сумма платежей в погашение основного долга должна равняться сумме займа (ИТОГО станет "зеленым"). Сумма займа указывается на листе Кредитного калькулятора. При подаче заявки неравномерный график должен быть обоснован!</t>
  </si>
  <si>
    <t>(поставьте любой знак)</t>
  </si>
  <si>
    <t>Для корректной работы всех элементов не блокируйте работу макросов!!!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</si>
</sst>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</font>
    <font>
      <b/>
      <sz val="16"/>
      <color theme="5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B5B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1" fillId="0" borderId="0"/>
    <xf numFmtId="9" fontId="14" fillId="0" borderId="0" applyFont="0" applyFill="0" applyBorder="0" applyAlignment="0" applyProtection="0"/>
    <xf numFmtId="9" fontId="10" fillId="0" borderId="0">
      <alignment vertical="top"/>
      <protection locked="0"/>
    </xf>
    <xf numFmtId="9" fontId="1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12" fillId="0" borderId="0" xfId="1" applyFont="1"/>
    <xf numFmtId="4" fontId="12" fillId="0" borderId="0" xfId="1" applyNumberFormat="1" applyFont="1"/>
    <xf numFmtId="4" fontId="12" fillId="0" borderId="0" xfId="1" applyNumberFormat="1" applyFont="1" applyAlignment="1">
      <alignment wrapText="1"/>
    </xf>
    <xf numFmtId="0" fontId="12" fillId="0" borderId="0" xfId="1" applyFont="1" applyAlignment="1">
      <alignment wrapText="1"/>
    </xf>
    <xf numFmtId="0" fontId="16" fillId="0" borderId="0" xfId="1" applyFont="1"/>
    <xf numFmtId="4" fontId="21" fillId="0" borderId="0" xfId="1" applyNumberFormat="1" applyFont="1" applyAlignment="1">
      <alignment wrapText="1"/>
    </xf>
    <xf numFmtId="0" fontId="21" fillId="0" borderId="0" xfId="1" applyFont="1" applyAlignment="1">
      <alignment wrapText="1"/>
    </xf>
    <xf numFmtId="0" fontId="0" fillId="0" borderId="2" xfId="0" applyBorder="1"/>
    <xf numFmtId="10" fontId="0" fillId="0" borderId="0" xfId="4" applyNumberFormat="1" applyFont="1"/>
    <xf numFmtId="10" fontId="1" fillId="0" borderId="0" xfId="4" applyNumberFormat="1" applyFont="1"/>
    <xf numFmtId="10" fontId="1" fillId="0" borderId="0" xfId="0" applyNumberFormat="1" applyFont="1" applyAlignment="1">
      <alignment horizontal="center"/>
    </xf>
    <xf numFmtId="10" fontId="0" fillId="0" borderId="2" xfId="4" applyNumberFormat="1" applyFont="1" applyBorder="1"/>
    <xf numFmtId="3" fontId="0" fillId="0" borderId="0" xfId="0" applyNumberFormat="1"/>
    <xf numFmtId="0" fontId="17" fillId="3" borderId="0" xfId="1" applyFont="1" applyFill="1"/>
    <xf numFmtId="0" fontId="12" fillId="3" borderId="0" xfId="1" applyFont="1" applyFill="1"/>
    <xf numFmtId="0" fontId="25" fillId="3" borderId="0" xfId="1" applyFont="1" applyFill="1"/>
    <xf numFmtId="0" fontId="13" fillId="3" borderId="0" xfId="1" applyFont="1" applyFill="1"/>
    <xf numFmtId="14" fontId="16" fillId="3" borderId="0" xfId="1" applyNumberFormat="1" applyFont="1" applyFill="1" applyAlignment="1">
      <alignment horizontal="center"/>
    </xf>
    <xf numFmtId="0" fontId="20" fillId="3" borderId="0" xfId="1" applyFont="1" applyFill="1" applyAlignment="1">
      <alignment vertical="center"/>
    </xf>
    <xf numFmtId="0" fontId="21" fillId="3" borderId="1" xfId="1" applyFont="1" applyFill="1" applyBorder="1" applyProtection="1"/>
    <xf numFmtId="3" fontId="18" fillId="3" borderId="1" xfId="1" applyNumberFormat="1" applyFont="1" applyFill="1" applyBorder="1" applyProtection="1"/>
    <xf numFmtId="0" fontId="18" fillId="3" borderId="1" xfId="1" applyFont="1" applyFill="1" applyBorder="1" applyProtection="1"/>
    <xf numFmtId="0" fontId="24" fillId="3" borderId="1" xfId="1" applyFont="1" applyFill="1" applyBorder="1" applyProtection="1"/>
    <xf numFmtId="10" fontId="19" fillId="3" borderId="1" xfId="2" applyNumberFormat="1" applyFont="1" applyFill="1" applyBorder="1" applyProtection="1"/>
    <xf numFmtId="0" fontId="12" fillId="3" borderId="1" xfId="1" applyFont="1" applyFill="1" applyBorder="1" applyProtection="1"/>
    <xf numFmtId="4" fontId="12" fillId="3" borderId="1" xfId="1" applyNumberFormat="1" applyFont="1" applyFill="1" applyBorder="1" applyProtection="1"/>
    <xf numFmtId="0" fontId="12" fillId="3" borderId="0" xfId="1" applyFont="1" applyFill="1" applyAlignment="1">
      <alignment vertical="top"/>
    </xf>
    <xf numFmtId="0" fontId="12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wrapText="1"/>
    </xf>
    <xf numFmtId="0" fontId="21" fillId="3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/>
    </xf>
    <xf numFmtId="164" fontId="21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>
      <alignment horizontal="right"/>
    </xf>
    <xf numFmtId="4" fontId="12" fillId="3" borderId="1" xfId="1" applyNumberFormat="1" applyFont="1" applyFill="1" applyBorder="1"/>
    <xf numFmtId="4" fontId="16" fillId="3" borderId="1" xfId="1" applyNumberFormat="1" applyFont="1" applyFill="1" applyBorder="1"/>
    <xf numFmtId="0" fontId="16" fillId="3" borderId="1" xfId="1" applyFont="1" applyFill="1" applyBorder="1"/>
    <xf numFmtId="0" fontId="16" fillId="3" borderId="1" xfId="1" applyFont="1" applyFill="1" applyBorder="1" applyAlignment="1">
      <alignment horizontal="left"/>
    </xf>
    <xf numFmtId="4" fontId="16" fillId="3" borderId="1" xfId="1" applyNumberFormat="1" applyFont="1" applyFill="1" applyBorder="1" applyAlignment="1">
      <alignment horizontal="center"/>
    </xf>
    <xf numFmtId="3" fontId="18" fillId="4" borderId="1" xfId="1" applyNumberFormat="1" applyFont="1" applyFill="1" applyBorder="1" applyProtection="1">
      <protection locked="0"/>
    </xf>
    <xf numFmtId="10" fontId="19" fillId="4" borderId="1" xfId="2" applyNumberFormat="1" applyFont="1" applyFill="1" applyBorder="1" applyProtection="1">
      <protection locked="0"/>
    </xf>
    <xf numFmtId="0" fontId="18" fillId="4" borderId="1" xfId="1" applyFont="1" applyFill="1" applyBorder="1" applyProtection="1">
      <protection locked="0"/>
    </xf>
    <xf numFmtId="4" fontId="12" fillId="4" borderId="1" xfId="1" applyNumberFormat="1" applyFont="1" applyFill="1" applyBorder="1" applyProtection="1">
      <protection locked="0"/>
    </xf>
    <xf numFmtId="0" fontId="0" fillId="4" borderId="0" xfId="0" applyFill="1"/>
    <xf numFmtId="3" fontId="18" fillId="3" borderId="7" xfId="1" applyNumberFormat="1" applyFont="1" applyFill="1" applyBorder="1" applyProtection="1"/>
    <xf numFmtId="3" fontId="30" fillId="3" borderId="6" xfId="1" applyNumberFormat="1" applyFont="1" applyFill="1" applyBorder="1" applyAlignment="1" applyProtection="1">
      <alignment horizontal="center"/>
    </xf>
    <xf numFmtId="0" fontId="28" fillId="5" borderId="0" xfId="0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14" fontId="0" fillId="0" borderId="0" xfId="0" applyNumberFormat="1" applyFont="1" applyAlignment="1">
      <alignment horizontal="left"/>
    </xf>
    <xf numFmtId="0" fontId="34" fillId="0" borderId="0" xfId="0" applyFont="1"/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7" fillId="0" borderId="0" xfId="5" applyProtection="1">
      <protection locked="0"/>
    </xf>
    <xf numFmtId="0" fontId="33" fillId="0" borderId="0" xfId="0" applyFont="1" applyProtection="1">
      <protection locked="0"/>
    </xf>
    <xf numFmtId="0" fontId="29" fillId="6" borderId="1" xfId="1" applyFont="1" applyFill="1" applyBorder="1" applyProtection="1"/>
    <xf numFmtId="0" fontId="23" fillId="4" borderId="1" xfId="1" applyFont="1" applyFill="1" applyBorder="1" applyAlignment="1" applyProtection="1">
      <alignment horizontal="left"/>
      <protection locked="0"/>
    </xf>
    <xf numFmtId="0" fontId="12" fillId="3" borderId="1" xfId="1" applyFont="1" applyFill="1" applyBorder="1" applyProtection="1"/>
    <xf numFmtId="0" fontId="24" fillId="3" borderId="1" xfId="1" applyFont="1" applyFill="1" applyBorder="1" applyProtection="1"/>
    <xf numFmtId="0" fontId="32" fillId="3" borderId="1" xfId="5" applyFont="1" applyFill="1" applyBorder="1" applyProtection="1">
      <protection locked="0"/>
    </xf>
    <xf numFmtId="0" fontId="31" fillId="3" borderId="1" xfId="1" applyFont="1" applyFill="1" applyBorder="1" applyProtection="1">
      <protection locked="0"/>
    </xf>
    <xf numFmtId="0" fontId="23" fillId="4" borderId="0" xfId="0" applyFont="1" applyFill="1" applyProtection="1">
      <protection locked="0"/>
    </xf>
    <xf numFmtId="0" fontId="12" fillId="3" borderId="4" xfId="1" applyFont="1" applyFill="1" applyBorder="1" applyAlignment="1">
      <alignment horizontal="left" vertical="top" wrapText="1"/>
    </xf>
    <xf numFmtId="0" fontId="23" fillId="3" borderId="1" xfId="1" applyFont="1" applyFill="1" applyBorder="1" applyAlignment="1" applyProtection="1">
      <alignment horizontal="left"/>
    </xf>
    <xf numFmtId="0" fontId="23" fillId="3" borderId="3" xfId="1" applyFont="1" applyFill="1" applyBorder="1" applyProtection="1"/>
    <xf numFmtId="0" fontId="23" fillId="3" borderId="4" xfId="1" applyFont="1" applyFill="1" applyBorder="1" applyProtection="1"/>
    <xf numFmtId="0" fontId="23" fillId="3" borderId="5" xfId="1" applyFont="1" applyFill="1" applyBorder="1" applyProtection="1"/>
    <xf numFmtId="0" fontId="24" fillId="6" borderId="1" xfId="1" applyFont="1" applyFill="1" applyBorder="1" applyProtection="1"/>
  </cellXfs>
  <cellStyles count="6">
    <cellStyle name="Гиперссылка" xfId="5" builtinId="8"/>
    <cellStyle name="Обычный" xfId="0" builtinId="0"/>
    <cellStyle name="Обычный 2" xfId="1" xr:uid="{AE504A9A-6221-4664-85FD-66143C92B79D}"/>
    <cellStyle name="Процентный" xfId="4" builtinId="5"/>
    <cellStyle name="Процентный 2" xfId="2" xr:uid="{C5CCCEEF-6A8D-44EA-BDA5-CC47F846B11A}"/>
    <cellStyle name="Процентный 3" xfId="3" xr:uid="{86090DE0-6F0E-4657-AF7B-17B58AFDD2AC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B5B7"/>
      <color rgb="FFF9ADBD"/>
      <color rgb="FFF99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838200</xdr:colOff>
          <xdr:row>4</xdr:row>
          <xdr:rowOff>161925</xdr:rowOff>
        </xdr:from>
        <xdr:to>
          <xdr:col>0</xdr:col>
          <xdr:colOff>2876550</xdr:colOff>
          <xdr:row>12</xdr:row>
          <xdr:rowOff>9525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ТЕСТ-ОПРОСНИК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</xdr:row>
          <xdr:rowOff>142875</xdr:rowOff>
        </xdr:from>
        <xdr:to>
          <xdr:col>2</xdr:col>
          <xdr:colOff>1600200</xdr:colOff>
          <xdr:row>12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Кредитный калькулятор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4</xdr:row>
          <xdr:rowOff>47625</xdr:rowOff>
        </xdr:from>
        <xdr:to>
          <xdr:col>4</xdr:col>
          <xdr:colOff>676275</xdr:colOff>
          <xdr:row>4</xdr:row>
          <xdr:rowOff>276225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Очистить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7</xdr:row>
      <xdr:rowOff>28575</xdr:rowOff>
    </xdr:from>
    <xdr:to>
      <xdr:col>8</xdr:col>
      <xdr:colOff>609600</xdr:colOff>
      <xdr:row>7</xdr:row>
      <xdr:rowOff>276225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91100" y="1743075"/>
          <a:ext cx="6000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ставка: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781050</xdr:colOff>
          <xdr:row>7</xdr:row>
          <xdr:rowOff>228600</xdr:rowOff>
        </xdr:from>
        <xdr:to>
          <xdr:col>6</xdr:col>
          <xdr:colOff>962025</xdr:colOff>
          <xdr:row>8</xdr:row>
          <xdr:rowOff>161925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Подробнее на сайте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igo/Bitrix24/&#1050;&#1086;&#1084;&#1080;&#1090;&#1077;&#1090;%20&#1087;&#1086;%20&#1079;&#1072;&#1081;&#1084;&#1072;&#1084;/&#1050;&#1088;&#1077;&#1076;&#1080;&#1090;&#1085;&#1099;&#1081;%20&#1088;&#1077;&#1081;&#1090;&#1080;&#1085;&#1075;_2018_&#1074;5_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Характеристика"/>
      <sheetName val="Оценка проекта"/>
      <sheetName val="Оценка обеспечения"/>
      <sheetName val="Финансовая оценка"/>
      <sheetName val="Упрощенный"/>
      <sheetName val="Баланс"/>
      <sheetName val="расчет_коэф"/>
      <sheetName val="график"/>
      <sheetName val="ОКВЭД"/>
    </sheetNames>
    <sheetDataSet>
      <sheetData sheetId="0">
        <row r="8">
          <cell r="F8">
            <v>600</v>
          </cell>
        </row>
      </sheetData>
      <sheetData sheetId="1">
        <row r="5">
          <cell r="B5" t="str">
            <v>стартап</v>
          </cell>
        </row>
        <row r="6">
          <cell r="B6" t="str">
            <v xml:space="preserve">до 6 мес.  </v>
          </cell>
        </row>
        <row r="7">
          <cell r="B7" t="str">
            <v>до 1 года</v>
          </cell>
        </row>
        <row r="8">
          <cell r="B8" t="str">
            <v>от 1 года до 3 лет</v>
          </cell>
        </row>
        <row r="9">
          <cell r="B9" t="str">
            <v>более 3 лет</v>
          </cell>
        </row>
        <row r="11">
          <cell r="B11" t="str">
            <v>да</v>
          </cell>
        </row>
        <row r="12">
          <cell r="B12" t="str">
            <v>нет</v>
          </cell>
        </row>
        <row r="14">
          <cell r="B14" t="str">
            <v>да</v>
          </cell>
        </row>
        <row r="15">
          <cell r="B15" t="str">
            <v>нет</v>
          </cell>
        </row>
        <row r="17">
          <cell r="B17" t="str">
            <v>хороший</v>
          </cell>
        </row>
        <row r="18">
          <cell r="B18" t="str">
            <v>плохой</v>
          </cell>
        </row>
        <row r="19">
          <cell r="B19" t="str">
            <v>отсутствует</v>
          </cell>
        </row>
        <row r="21">
          <cell r="B21" t="str">
            <v>в собственности</v>
          </cell>
        </row>
        <row r="22">
          <cell r="B22" t="str">
            <v>владеют связанные лица</v>
          </cell>
        </row>
        <row r="23">
          <cell r="B23" t="str">
            <v>аренда более срока займа плюс 6 мес.</v>
          </cell>
        </row>
        <row r="24">
          <cell r="B24" t="str">
            <v>аренда менее срока займа плюс 6 мес.</v>
          </cell>
        </row>
        <row r="25">
          <cell r="B25" t="str">
            <v>не определено</v>
          </cell>
        </row>
        <row r="26">
          <cell r="B26" t="str">
            <v>нет необходимости</v>
          </cell>
        </row>
        <row r="28">
          <cell r="B28" t="str">
            <v>да</v>
          </cell>
        </row>
        <row r="29">
          <cell r="B29" t="str">
            <v>нет</v>
          </cell>
        </row>
        <row r="31">
          <cell r="B31" t="str">
            <v>да</v>
          </cell>
        </row>
        <row r="32">
          <cell r="B32" t="str">
            <v>нет</v>
          </cell>
        </row>
        <row r="34">
          <cell r="B34" t="str">
            <v>да</v>
          </cell>
        </row>
        <row r="35">
          <cell r="B35" t="str">
            <v>нет</v>
          </cell>
        </row>
        <row r="37">
          <cell r="B37" t="str">
            <v>положительная</v>
          </cell>
        </row>
        <row r="38">
          <cell r="B38" t="str">
            <v>удовлетворительная</v>
          </cell>
        </row>
        <row r="39">
          <cell r="B39" t="str">
            <v>связанная положительная</v>
          </cell>
        </row>
        <row r="40">
          <cell r="B40" t="str">
            <v>связанная отрицательная</v>
          </cell>
        </row>
        <row r="41">
          <cell r="B41" t="str">
            <v>отсутствует</v>
          </cell>
        </row>
        <row r="42">
          <cell r="B42" t="str">
            <v>отрицательная</v>
          </cell>
        </row>
        <row r="44">
          <cell r="B44" t="str">
            <v>отличная (многократная)</v>
          </cell>
        </row>
        <row r="45">
          <cell r="B45" t="str">
            <v>отличная</v>
          </cell>
        </row>
        <row r="46">
          <cell r="B46" t="str">
            <v>хорошая</v>
          </cell>
        </row>
        <row r="47">
          <cell r="B47" t="str">
            <v>удовлетворительная или отсутствует</v>
          </cell>
        </row>
        <row r="48">
          <cell r="B48" t="str">
            <v>отрицательная</v>
          </cell>
        </row>
        <row r="50">
          <cell r="B50" t="str">
            <v>нет</v>
          </cell>
        </row>
        <row r="51">
          <cell r="B51" t="str">
            <v>до 2-х</v>
          </cell>
        </row>
        <row r="52">
          <cell r="B52" t="str">
            <v>до 5-ти</v>
          </cell>
        </row>
        <row r="53">
          <cell r="B53" t="str">
            <v>от 5 до 10</v>
          </cell>
        </row>
        <row r="54">
          <cell r="B54" t="str">
            <v>более 10</v>
          </cell>
        </row>
        <row r="56">
          <cell r="B56" t="str">
            <v>да</v>
          </cell>
        </row>
        <row r="57">
          <cell r="B57" t="str">
            <v>нет</v>
          </cell>
        </row>
        <row r="59">
          <cell r="B59" t="str">
            <v>диверсифицирована по видам деятельности</v>
          </cell>
        </row>
        <row r="60">
          <cell r="B60" t="str">
            <v>диверсифицирована по поставщикам</v>
          </cell>
        </row>
        <row r="61">
          <cell r="B61" t="str">
            <v>диверсифицирована по покупателям</v>
          </cell>
        </row>
        <row r="62">
          <cell r="B62" t="str">
            <v>и то и другое</v>
          </cell>
        </row>
        <row r="63">
          <cell r="B63" t="str">
            <v>не диверсифицирована</v>
          </cell>
        </row>
      </sheetData>
      <sheetData sheetId="2">
        <row r="13">
          <cell r="B13" t="str">
            <v>до 300 т.р. включительно</v>
          </cell>
        </row>
        <row r="14">
          <cell r="B14" t="str">
            <v>до 500 т.р. включительно</v>
          </cell>
        </row>
        <row r="15">
          <cell r="B15" t="str">
            <v>до 1 млн.р. включительно</v>
          </cell>
        </row>
        <row r="16">
          <cell r="B16" t="str">
            <v>более 1 млн.р.</v>
          </cell>
        </row>
      </sheetData>
      <sheetData sheetId="3">
        <row r="32">
          <cell r="B32" t="str">
            <v>нет</v>
          </cell>
        </row>
        <row r="33">
          <cell r="B33" t="str">
            <v>да</v>
          </cell>
        </row>
        <row r="35">
          <cell r="B35" t="str">
            <v>менее 130% от суммы займа</v>
          </cell>
        </row>
        <row r="36">
          <cell r="B36" t="str">
            <v>более 130% от суммы займа</v>
          </cell>
        </row>
        <row r="37">
          <cell r="B37" t="str">
            <v>не применимо</v>
          </cell>
        </row>
        <row r="52">
          <cell r="B52" t="str">
            <v>руководителя</v>
          </cell>
        </row>
        <row r="53">
          <cell r="B53" t="str">
            <v xml:space="preserve">супруги </v>
          </cell>
        </row>
        <row r="54">
          <cell r="B54" t="str">
            <v>третьего лица</v>
          </cell>
        </row>
        <row r="55">
          <cell r="B55" t="str">
            <v>нет</v>
          </cell>
        </row>
      </sheetData>
      <sheetData sheetId="4">
        <row r="17">
          <cell r="B17" t="str">
            <v>до 50% от суммы займа</v>
          </cell>
        </row>
        <row r="18">
          <cell r="B18" t="str">
            <v>от 50% до 100% от суммы займа</v>
          </cell>
        </row>
        <row r="19">
          <cell r="B19" t="str">
            <v>от 100% до 200% от суммы займа</v>
          </cell>
        </row>
        <row r="20">
          <cell r="B20" t="str">
            <v>от 2 до 10 раз больше суммы займа</v>
          </cell>
        </row>
        <row r="21">
          <cell r="B21" t="str">
            <v>более 10 раз больше суммы займа</v>
          </cell>
        </row>
        <row r="23">
          <cell r="B23" t="str">
            <v>регламентированная</v>
          </cell>
        </row>
        <row r="24">
          <cell r="B24" t="str">
            <v>управленческая</v>
          </cell>
        </row>
        <row r="25">
          <cell r="B25" t="str">
            <v>не прозрачный (не применимо)</v>
          </cell>
        </row>
      </sheetData>
      <sheetData sheetId="5"/>
      <sheetData sheetId="6"/>
      <sheetData sheetId="7"/>
      <sheetData sheetId="8"/>
      <sheetData sheetId="9">
        <row r="4">
          <cell r="A4" t="str">
            <v>Сельское хозяйство (01, кроме 01.7)</v>
          </cell>
        </row>
        <row r="5">
          <cell r="A5" t="str">
            <v>Охота (01.7), лесоводство (02)</v>
          </cell>
        </row>
        <row r="6">
          <cell r="A6" t="str">
            <v>Рыбоводство (03)</v>
          </cell>
        </row>
        <row r="7">
          <cell r="A7" t="str">
            <v>Добыча полезных ископаемых (05, 06, 07)</v>
          </cell>
        </row>
        <row r="8">
          <cell r="A8" t="str">
            <v>Добыча общераспространенных полезных ископаемых (08, 09)</v>
          </cell>
        </row>
        <row r="9">
          <cell r="A9" t="str">
            <v>Обрабатывающие производства (10-33 (кроме 11.01-11.06, 12, 19, 24.46, 25.30.2, 25.4, 32.1))</v>
          </cell>
        </row>
        <row r="10">
          <cell r="A10" t="str">
            <v>Обеспечение газом, паром, электроэнергией (35)</v>
          </cell>
        </row>
        <row r="11">
          <cell r="A11" t="str">
            <v>Водоснабжение, водоотведение, отходы (36-39)</v>
          </cell>
        </row>
        <row r="12">
          <cell r="A12" t="str">
            <v>Строительство (41-43)</v>
          </cell>
        </row>
        <row r="13">
          <cell r="A13" t="str">
            <v>Торговля и ремонт автотранспортных средств (45)</v>
          </cell>
        </row>
        <row r="14">
          <cell r="A14" t="str">
            <v>Оптовая торговля (46)</v>
          </cell>
        </row>
        <row r="15">
          <cell r="A15" t="str">
            <v>Розничная торговля (47)</v>
          </cell>
        </row>
        <row r="16">
          <cell r="A16" t="str">
            <v>Транспортировка и хранение (49-53)</v>
          </cell>
        </row>
        <row r="17">
          <cell r="A17" t="str">
            <v>Деятельность гостиниц (55)</v>
          </cell>
        </row>
        <row r="18">
          <cell r="A18" t="str">
            <v>Деятельность ресторанов (56)</v>
          </cell>
        </row>
        <row r="19">
          <cell r="A19" t="str">
            <v>Деятельность в сфере телекоммуникаций (61)</v>
          </cell>
        </row>
        <row r="20">
          <cell r="A20" t="str">
            <v>Разработка компьютерного програмного обеспечения (62)</v>
          </cell>
        </row>
        <row r="21">
          <cell r="A21" t="str">
            <v>Прочая деятельность в области информации и связи (58, 59, 60, 63)</v>
          </cell>
        </row>
        <row r="22">
          <cell r="A22" t="str">
            <v>Финансовая и страховая (64-66)</v>
          </cell>
        </row>
        <row r="23">
          <cell r="A23" t="str">
            <v>Операции с недвижимым имуществом (68, кроме 68.32.1)</v>
          </cell>
        </row>
        <row r="24">
          <cell r="A24" t="str">
            <v>Управление эксплуатацией жилого фонда (68.32.1)</v>
          </cell>
        </row>
        <row r="25">
          <cell r="A25" t="str">
            <v>Профессиональная, научная и техническая (69-75, кроме 72)</v>
          </cell>
        </row>
        <row r="26">
          <cell r="A26" t="str">
            <v>Научные исследования и разработки (72)</v>
          </cell>
        </row>
        <row r="27">
          <cell r="A27" t="str">
            <v>Аренда, лизинг, прокат (77)</v>
          </cell>
        </row>
        <row r="28">
          <cell r="A28" t="str">
            <v>Услуги в сфере туризма (79)</v>
          </cell>
        </row>
        <row r="29">
          <cell r="A29" t="str">
            <v>Другие админитсративные и доп. услуги (78, 80, 82)</v>
          </cell>
        </row>
        <row r="30">
          <cell r="A30" t="str">
            <v>Обслуживание зданий и территорий (81)</v>
          </cell>
        </row>
        <row r="31">
          <cell r="A31" t="str">
            <v>Образование (85)</v>
          </cell>
        </row>
        <row r="32">
          <cell r="A32" t="str">
            <v>Здравоохранение (86)</v>
          </cell>
        </row>
        <row r="33">
          <cell r="A33" t="str">
            <v>Прочие социальные услуги (87)</v>
          </cell>
        </row>
        <row r="34">
          <cell r="A34" t="str">
            <v>Предоставление социальных услуг без обеспечения проживания (88)</v>
          </cell>
        </row>
        <row r="35">
          <cell r="A35" t="str">
            <v>Прочая творческая и культурная деятельность (90-92)</v>
          </cell>
        </row>
        <row r="36">
          <cell r="A36" t="str">
            <v>Спорт, отдых и развлечения (93)</v>
          </cell>
        </row>
        <row r="37">
          <cell r="A37" t="str">
            <v>Ремонт компьютеров и предметов потребления (95)</v>
          </cell>
        </row>
        <row r="38">
          <cell r="A38" t="str">
            <v xml:space="preserve">Предоставление персональных услуг (96, кроме 96.09) </v>
          </cell>
        </row>
        <row r="42">
          <cell r="A42" t="str">
            <v>С.С. Шульга</v>
          </cell>
        </row>
        <row r="43">
          <cell r="A43" t="str">
            <v>Е.П. Третьякова</v>
          </cell>
        </row>
        <row r="44">
          <cell r="A44" t="str">
            <v>Н.В. Морозова</v>
          </cell>
        </row>
        <row r="45">
          <cell r="A45" t="str">
            <v>Ю.В. Бобылева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B0F4-A4D0-4CA6-8493-8AD226481A5B}">
  <sheetPr codeName="Лист1"/>
  <dimension ref="A1:E22"/>
  <sheetViews>
    <sheetView showGridLines="0" tabSelected="1" workbookViewId="0">
      <selection activeCell="H25" sqref="H25"/>
    </sheetView>
  </sheetViews>
  <sheetFormatPr defaultRowHeight="15" x14ac:dyDescent="0.25"/>
  <cols>
    <col min="1" max="1" width="55.42578125" customWidth="1"/>
    <col min="2" max="2" width="10.42578125" customWidth="1"/>
    <col min="3" max="3" width="32" customWidth="1"/>
    <col min="4" max="4" width="5.140625" customWidth="1"/>
    <col min="5" max="5" width="5.5703125" customWidth="1"/>
  </cols>
  <sheetData>
    <row r="1" spans="1:5" x14ac:dyDescent="0.25">
      <c r="A1" s="11"/>
      <c r="B1" s="11"/>
      <c r="C1" s="11"/>
      <c r="D1" s="11"/>
      <c r="E1" s="11"/>
    </row>
    <row r="2" spans="1:5" ht="15.75" x14ac:dyDescent="0.25">
      <c r="A2" s="65" t="s">
        <v>40</v>
      </c>
      <c r="B2" s="65"/>
      <c r="C2" s="65"/>
      <c r="D2" s="65"/>
      <c r="E2" s="65"/>
    </row>
    <row r="3" spans="1:5" ht="21" x14ac:dyDescent="0.35">
      <c r="A3" s="66" t="s">
        <v>41</v>
      </c>
      <c r="B3" s="66"/>
      <c r="C3" s="66"/>
      <c r="D3" s="66"/>
      <c r="E3" s="66"/>
    </row>
    <row r="4" spans="1:5" x14ac:dyDescent="0.25">
      <c r="A4" s="11"/>
      <c r="B4" s="11"/>
      <c r="C4" s="11"/>
      <c r="D4" s="11"/>
      <c r="E4" s="11"/>
    </row>
    <row r="5" spans="1:5" x14ac:dyDescent="0.25">
      <c r="A5" s="11"/>
      <c r="B5" s="11"/>
      <c r="C5" s="11"/>
      <c r="D5" s="11"/>
      <c r="E5" s="11"/>
    </row>
    <row r="6" spans="1:5" x14ac:dyDescent="0.25">
      <c r="A6" s="11"/>
      <c r="B6" s="11"/>
      <c r="C6" s="11"/>
      <c r="D6" s="11"/>
      <c r="E6" s="11"/>
    </row>
    <row r="7" spans="1:5" x14ac:dyDescent="0.25">
      <c r="A7" s="11"/>
      <c r="B7" s="11"/>
      <c r="C7" s="11"/>
      <c r="D7" s="11"/>
      <c r="E7" s="11"/>
    </row>
    <row r="8" spans="1:5" x14ac:dyDescent="0.25">
      <c r="A8" s="11"/>
      <c r="B8" s="11"/>
      <c r="C8" s="11"/>
      <c r="D8" s="11"/>
      <c r="E8" s="11"/>
    </row>
    <row r="9" spans="1:5" x14ac:dyDescent="0.25">
      <c r="A9" s="11"/>
      <c r="B9" s="11"/>
      <c r="C9" s="11"/>
      <c r="D9" s="11"/>
      <c r="E9" s="11"/>
    </row>
    <row r="10" spans="1:5" x14ac:dyDescent="0.25">
      <c r="A10" s="11"/>
      <c r="B10" s="11"/>
      <c r="C10" s="11"/>
      <c r="D10" s="11"/>
      <c r="E10" s="11"/>
    </row>
    <row r="11" spans="1:5" x14ac:dyDescent="0.25">
      <c r="A11" s="11"/>
      <c r="B11" s="11"/>
      <c r="C11" s="11"/>
      <c r="D11" s="11"/>
      <c r="E11" s="11"/>
    </row>
    <row r="12" spans="1:5" x14ac:dyDescent="0.25">
      <c r="A12" s="11"/>
      <c r="B12" s="11"/>
      <c r="C12" s="11"/>
      <c r="D12" s="11"/>
      <c r="E12" s="11"/>
    </row>
    <row r="13" spans="1:5" x14ac:dyDescent="0.25">
      <c r="A13" s="11"/>
      <c r="B13" s="11"/>
      <c r="C13" s="11"/>
      <c r="D13" s="11"/>
      <c r="E13" s="11"/>
    </row>
    <row r="14" spans="1:5" ht="21" customHeight="1" x14ac:dyDescent="0.25">
      <c r="A14" s="11"/>
      <c r="B14" s="56"/>
      <c r="C14" s="61" t="s">
        <v>73</v>
      </c>
      <c r="D14" s="11"/>
      <c r="E14" s="11"/>
    </row>
    <row r="15" spans="1:5" ht="10.5" customHeight="1" x14ac:dyDescent="0.25">
      <c r="A15" s="11"/>
      <c r="B15" s="11"/>
      <c r="C15" s="11"/>
      <c r="D15" s="11"/>
      <c r="E15" s="11"/>
    </row>
    <row r="16" spans="1:5" ht="30" x14ac:dyDescent="0.25">
      <c r="A16" s="11"/>
      <c r="B16" s="59">
        <v>3500</v>
      </c>
      <c r="C16" s="60" t="s">
        <v>77</v>
      </c>
      <c r="D16" s="11"/>
      <c r="E16" s="11"/>
    </row>
    <row r="17" spans="1:5" x14ac:dyDescent="0.25">
      <c r="A17" s="11"/>
      <c r="B17" s="11"/>
      <c r="C17" s="11"/>
      <c r="D17" s="11"/>
      <c r="E17" s="11"/>
    </row>
    <row r="18" spans="1:5" x14ac:dyDescent="0.25">
      <c r="A18" s="11"/>
      <c r="B18" s="11"/>
      <c r="C18" s="11"/>
      <c r="D18" s="11"/>
      <c r="E18" s="11"/>
    </row>
    <row r="19" spans="1:5" x14ac:dyDescent="0.25">
      <c r="A19" s="11"/>
      <c r="B19" s="11"/>
      <c r="C19" s="11"/>
      <c r="D19" s="11"/>
      <c r="E19" s="11"/>
    </row>
    <row r="20" spans="1:5" ht="30" customHeight="1" x14ac:dyDescent="0.25">
      <c r="A20" s="67" t="s">
        <v>71</v>
      </c>
      <c r="B20" s="67"/>
      <c r="C20" s="67"/>
      <c r="D20" s="67"/>
      <c r="E20" s="67"/>
    </row>
    <row r="21" spans="1:5" x14ac:dyDescent="0.25">
      <c r="A21" s="11"/>
      <c r="B21" s="11"/>
      <c r="C21" s="11"/>
      <c r="D21" s="11"/>
      <c r="E21" s="11"/>
    </row>
    <row r="22" spans="1:5" x14ac:dyDescent="0.25">
      <c r="A22" s="64" t="s">
        <v>81</v>
      </c>
    </row>
  </sheetData>
  <sheetProtection algorithmName="SHA-512" hashValue="Pm/sh15wt5V0SbDLop4+AXpOFYncjFZsTtZdZucP1nIJBhLDPb+pbTkiw3tBWw0BDfH/6nDFqyIEfhb7kYFDFw==" saltValue="JcOvVdx9CiClL8f9WW0Ivg==" spinCount="100000" sheet="1" selectLockedCells="1"/>
  <mergeCells count="3">
    <mergeCell ref="A2:E2"/>
    <mergeCell ref="A3:E3"/>
    <mergeCell ref="A20:E20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Переход_на_тест">
                <anchor moveWithCells="1" sizeWithCells="1">
                  <from>
                    <xdr:col>0</xdr:col>
                    <xdr:colOff>838200</xdr:colOff>
                    <xdr:row>4</xdr:row>
                    <xdr:rowOff>161925</xdr:rowOff>
                  </from>
                  <to>
                    <xdr:col>0</xdr:col>
                    <xdr:colOff>2876550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Переход_на_калькул">
                <anchor moveWithCells="1" sizeWithCells="1">
                  <from>
                    <xdr:col>1</xdr:col>
                    <xdr:colOff>28575</xdr:colOff>
                    <xdr:row>4</xdr:row>
                    <xdr:rowOff>142875</xdr:rowOff>
                  </from>
                  <to>
                    <xdr:col>2</xdr:col>
                    <xdr:colOff>1600200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0EE9F-C658-41BA-9C40-D94061A70CCC}">
  <sheetPr codeName="Лист2">
    <pageSetUpPr fitToPage="1"/>
  </sheetPr>
  <dimension ref="A1:E29"/>
  <sheetViews>
    <sheetView showGridLines="0" workbookViewId="0">
      <selection activeCell="D6" sqref="D6"/>
    </sheetView>
  </sheetViews>
  <sheetFormatPr defaultRowHeight="15" x14ac:dyDescent="0.25"/>
  <cols>
    <col min="1" max="1" width="6.7109375" style="4" customWidth="1"/>
    <col min="2" max="2" width="115.28515625" customWidth="1"/>
    <col min="3" max="3" width="10.85546875" hidden="1" customWidth="1"/>
    <col min="4" max="5" width="11.28515625" style="2" customWidth="1"/>
    <col min="6" max="6" width="18" customWidth="1"/>
  </cols>
  <sheetData>
    <row r="1" spans="1:5" ht="7.5" customHeight="1" x14ac:dyDescent="0.25"/>
    <row r="2" spans="1:5" ht="18.75" x14ac:dyDescent="0.3">
      <c r="B2" s="5" t="s">
        <v>34</v>
      </c>
      <c r="C2" s="5"/>
    </row>
    <row r="3" spans="1:5" ht="18.75" customHeight="1" x14ac:dyDescent="0.25">
      <c r="B3" s="63">
        <f ca="1">TODAY()</f>
        <v>43742</v>
      </c>
      <c r="D3" s="6" t="s">
        <v>80</v>
      </c>
    </row>
    <row r="4" spans="1:5" x14ac:dyDescent="0.25">
      <c r="D4" s="10" t="s">
        <v>0</v>
      </c>
      <c r="E4" s="10" t="s">
        <v>1</v>
      </c>
    </row>
    <row r="5" spans="1:5" ht="25.5" customHeight="1" x14ac:dyDescent="0.25">
      <c r="A5" s="4">
        <v>1</v>
      </c>
      <c r="B5" s="1" t="s">
        <v>5</v>
      </c>
      <c r="C5" s="1"/>
    </row>
    <row r="6" spans="1:5" ht="21" customHeight="1" x14ac:dyDescent="0.25">
      <c r="A6" s="4" t="s">
        <v>17</v>
      </c>
      <c r="B6" t="s">
        <v>3</v>
      </c>
      <c r="D6" s="62"/>
      <c r="E6" s="62"/>
    </row>
    <row r="7" spans="1:5" ht="21" customHeight="1" x14ac:dyDescent="0.25">
      <c r="A7" s="4" t="s">
        <v>18</v>
      </c>
      <c r="B7" t="s">
        <v>2</v>
      </c>
      <c r="D7" s="62"/>
      <c r="E7" s="62"/>
    </row>
    <row r="8" spans="1:5" ht="21" customHeight="1" x14ac:dyDescent="0.25">
      <c r="A8" s="4" t="s">
        <v>19</v>
      </c>
      <c r="B8" t="s">
        <v>4</v>
      </c>
      <c r="D8" s="62"/>
      <c r="E8" s="62"/>
    </row>
    <row r="9" spans="1:5" ht="21" customHeight="1" x14ac:dyDescent="0.25">
      <c r="A9" s="4" t="s">
        <v>20</v>
      </c>
      <c r="B9" t="s">
        <v>13</v>
      </c>
      <c r="D9" s="62"/>
      <c r="E9" s="62"/>
    </row>
    <row r="10" spans="1:5" ht="21" customHeight="1" x14ac:dyDescent="0.25">
      <c r="A10" s="4" t="s">
        <v>21</v>
      </c>
      <c r="B10" t="s">
        <v>37</v>
      </c>
      <c r="D10" s="62"/>
      <c r="E10" s="62"/>
    </row>
    <row r="11" spans="1:5" ht="21" customHeight="1" x14ac:dyDescent="0.25">
      <c r="A11" s="4" t="s">
        <v>36</v>
      </c>
      <c r="B11" t="s">
        <v>35</v>
      </c>
      <c r="D11" s="62"/>
      <c r="E11" s="62"/>
    </row>
    <row r="12" spans="1:5" ht="21" hidden="1" customHeight="1" x14ac:dyDescent="0.25">
      <c r="B12" s="8" t="str">
        <f>IF(C12&gt;0,"К сожалению, заём не может быть предоставлен, так как не выполняются основные требования.","")</f>
        <v/>
      </c>
      <c r="C12" s="7">
        <f>COUNTA(E6:E11)</f>
        <v>0</v>
      </c>
      <c r="D12" s="7"/>
    </row>
    <row r="13" spans="1:5" ht="21" customHeight="1" x14ac:dyDescent="0.25">
      <c r="A13" s="4" t="s">
        <v>22</v>
      </c>
      <c r="B13" s="1" t="s">
        <v>9</v>
      </c>
      <c r="C13" s="1"/>
    </row>
    <row r="14" spans="1:5" ht="21" customHeight="1" x14ac:dyDescent="0.25">
      <c r="A14" s="4" t="s">
        <v>23</v>
      </c>
      <c r="B14" t="s">
        <v>6</v>
      </c>
      <c r="D14" s="62"/>
      <c r="E14" s="62"/>
    </row>
    <row r="15" spans="1:5" ht="21" customHeight="1" x14ac:dyDescent="0.25">
      <c r="A15" s="4" t="s">
        <v>24</v>
      </c>
      <c r="B15" t="s">
        <v>7</v>
      </c>
      <c r="D15" s="62"/>
      <c r="E15" s="62"/>
    </row>
    <row r="16" spans="1:5" ht="21" customHeight="1" x14ac:dyDescent="0.25">
      <c r="A16" s="4" t="s">
        <v>25</v>
      </c>
      <c r="B16" s="3" t="s">
        <v>8</v>
      </c>
      <c r="C16" s="3"/>
      <c r="D16" s="62"/>
      <c r="E16" s="62"/>
    </row>
    <row r="17" spans="1:5" ht="21" hidden="1" customHeight="1" x14ac:dyDescent="0.25">
      <c r="B17" s="8" t="str">
        <f>IF(C17&gt;0,"К сожалению, заём не может быть предоставлен, так как вы подпадаете под ограничения.","")</f>
        <v/>
      </c>
      <c r="C17" s="7">
        <f>COUNTA(D14:D16)</f>
        <v>0</v>
      </c>
      <c r="D17" s="7"/>
      <c r="E17" s="7"/>
    </row>
    <row r="18" spans="1:5" ht="21" customHeight="1" x14ac:dyDescent="0.25">
      <c r="A18" s="4" t="s">
        <v>26</v>
      </c>
      <c r="B18" s="1" t="s">
        <v>10</v>
      </c>
      <c r="C18" s="1"/>
    </row>
    <row r="19" spans="1:5" ht="21" customHeight="1" x14ac:dyDescent="0.25">
      <c r="A19" s="4" t="s">
        <v>27</v>
      </c>
      <c r="B19" s="3" t="s">
        <v>11</v>
      </c>
      <c r="C19" s="3"/>
      <c r="D19" s="62"/>
      <c r="E19" s="62"/>
    </row>
    <row r="20" spans="1:5" ht="21" customHeight="1" x14ac:dyDescent="0.25">
      <c r="A20" s="4" t="s">
        <v>28</v>
      </c>
      <c r="B20" t="s">
        <v>12</v>
      </c>
      <c r="D20" s="62"/>
      <c r="E20" s="62"/>
    </row>
    <row r="21" spans="1:5" ht="21" customHeight="1" x14ac:dyDescent="0.25">
      <c r="A21" s="4" t="s">
        <v>29</v>
      </c>
      <c r="B21" s="3" t="s">
        <v>39</v>
      </c>
      <c r="C21" s="3"/>
      <c r="D21" s="62"/>
      <c r="E21" s="62"/>
    </row>
    <row r="22" spans="1:5" ht="21" customHeight="1" x14ac:dyDescent="0.25">
      <c r="A22" s="4" t="s">
        <v>30</v>
      </c>
      <c r="B22" s="3" t="s">
        <v>38</v>
      </c>
      <c r="C22" s="3"/>
      <c r="D22" s="62"/>
      <c r="E22" s="62"/>
    </row>
    <row r="23" spans="1:5" ht="21" customHeight="1" x14ac:dyDescent="0.25">
      <c r="A23" s="4" t="s">
        <v>31</v>
      </c>
      <c r="B23" t="s">
        <v>15</v>
      </c>
      <c r="D23" s="62"/>
      <c r="E23" s="62"/>
    </row>
    <row r="24" spans="1:5" ht="21" customHeight="1" x14ac:dyDescent="0.25">
      <c r="A24" s="4" t="s">
        <v>32</v>
      </c>
      <c r="B24" s="3" t="s">
        <v>16</v>
      </c>
      <c r="C24" s="3"/>
      <c r="D24" s="62"/>
      <c r="E24" s="62"/>
    </row>
    <row r="25" spans="1:5" ht="21" customHeight="1" x14ac:dyDescent="0.25">
      <c r="A25" s="4" t="s">
        <v>33</v>
      </c>
      <c r="B25" s="3" t="s">
        <v>14</v>
      </c>
      <c r="C25" s="3"/>
      <c r="D25" s="62"/>
      <c r="E25" s="62"/>
    </row>
    <row r="26" spans="1:5" ht="21" hidden="1" customHeight="1" x14ac:dyDescent="0.25">
      <c r="B26" s="8" t="str">
        <f>IF(C26&gt;0,"К сожалению, вероятность предоставления займа не велика. Рекомендуем устранить негативные факторы.","")</f>
        <v/>
      </c>
      <c r="C26" s="7">
        <f>COUNTA(D19:D25)</f>
        <v>0</v>
      </c>
      <c r="D26" s="7">
        <f>COUNTA(D6:D25)</f>
        <v>0</v>
      </c>
      <c r="E26" s="7">
        <f>COUNTA(E6:E25)</f>
        <v>0</v>
      </c>
    </row>
    <row r="27" spans="1:5" ht="26.25" hidden="1" customHeight="1" x14ac:dyDescent="0.25">
      <c r="B27" s="3" t="str">
        <f>IF(C12&gt;0,B12,IF(C17&gt;0,B17,IF(C26&gt;0,B26,"Отлично. Вы можете подать заявку на заём.")))</f>
        <v>Отлично. Вы можете подать заявку на заём.</v>
      </c>
      <c r="C27" s="3"/>
      <c r="E27" s="7">
        <f>COUNTA(D6:E25)</f>
        <v>0</v>
      </c>
    </row>
    <row r="28" spans="1:5" ht="16.5" customHeight="1" thickBot="1" x14ac:dyDescent="0.3">
      <c r="B28" s="3"/>
      <c r="C28" s="3"/>
      <c r="E28" s="7"/>
    </row>
    <row r="29" spans="1:5" ht="46.5" customHeight="1" thickBot="1" x14ac:dyDescent="0.3">
      <c r="B29" s="9" t="str">
        <f>IF(E27&lt;&gt;16,"Есть не заполненные поля, либо даны взаимоисключающие ответы",IF((D26+E26)&lt;&gt;16,"Есть не заполненные поля, либо даны взаимоисключающие ответы",B27))</f>
        <v>Есть не заполненные поля, либо даны взаимоисключающие ответы</v>
      </c>
      <c r="C29" s="3"/>
      <c r="D29" s="6"/>
    </row>
  </sheetData>
  <sheetProtection algorithmName="SHA-512" hashValue="kf4NXx32eh7AhJqDsUIUjAWMnVNg9ujpLQ86J7YDnmkGFqIshs2bX16QXyItVvzT/wxt9KuCRY+awGyEp1C7yA==" saltValue="lQAS7K+EhJ+IqzIzY2Aaag==" spinCount="100000" sheet="1" selectLockedCells="1"/>
  <conditionalFormatting sqref="B29">
    <cfRule type="containsText" dxfId="17" priority="1" operator="containsText" text="сожален">
      <formula>NOT(ISERROR(SEARCH("сожален",B29)))</formula>
    </cfRule>
    <cfRule type="containsText" dxfId="16" priority="2" operator="containsText" text="поля">
      <formula>NOT(ISERROR(SEARCH("поля",B29)))</formula>
    </cfRule>
    <cfRule type="containsText" dxfId="15" priority="3" operator="containsText" text="отлично">
      <formula>NOT(ISERROR(SEARCH("отлично",B29)))</formula>
    </cfRule>
  </conditionalFormatting>
  <conditionalFormatting sqref="D6:D12">
    <cfRule type="notContainsBlanks" dxfId="14" priority="10">
      <formula>LEN(TRIM(D6))&gt;0</formula>
    </cfRule>
  </conditionalFormatting>
  <conditionalFormatting sqref="D19:D25 E6:E11">
    <cfRule type="notContainsBlanks" dxfId="13" priority="11">
      <formula>LEN(TRIM(D6))&gt;0</formula>
    </cfRule>
  </conditionalFormatting>
  <conditionalFormatting sqref="E14:E16 E19:E25">
    <cfRule type="notContainsBlanks" dxfId="12" priority="13">
      <formula>LEN(TRIM(E14))&gt;0</formula>
    </cfRule>
  </conditionalFormatting>
  <conditionalFormatting sqref="D14:D16">
    <cfRule type="notContainsBlanks" dxfId="11" priority="12">
      <formula>LEN(TRIM(D14))&gt;0</formula>
    </cfRule>
  </conditionalFormatting>
  <pageMargins left="0.35433070866141736" right="0.31496062992125984" top="0.59055118110236227" bottom="0.43307086614173229" header="0.31496062992125984" footer="0.31496062992125984"/>
  <pageSetup paperSize="9" scale="97" orientation="landscape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Очистить">
                <anchor moveWithCells="1" sizeWithCells="1">
                  <from>
                    <xdr:col>3</xdr:col>
                    <xdr:colOff>38100</xdr:colOff>
                    <xdr:row>4</xdr:row>
                    <xdr:rowOff>47625</xdr:rowOff>
                  </from>
                  <to>
                    <xdr:col>4</xdr:col>
                    <xdr:colOff>676275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FB4A1614-90FB-49EB-83F4-8AB6BBB17203}">
            <xm:f>NOT(ISERROR(SEARCH("+",C17)))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ontainsText" priority="4" operator="containsText" id="{58C891C3-0D4B-4696-93AF-997E0F7F4374}">
            <xm:f>NOT(ISERROR(SEARCH("+",C26)))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629B-5116-42A5-86DC-A5788D241915}">
  <sheetPr codeName="Лист5">
    <pageSetUpPr fitToPage="1"/>
  </sheetPr>
  <dimension ref="A1:L56"/>
  <sheetViews>
    <sheetView showGridLines="0" workbookViewId="0">
      <selection activeCell="B4" sqref="B4:G4"/>
    </sheetView>
  </sheetViews>
  <sheetFormatPr defaultColWidth="11.5703125" defaultRowHeight="15" x14ac:dyDescent="0.25"/>
  <cols>
    <col min="1" max="1" width="0.7109375" style="12" customWidth="1"/>
    <col min="2" max="2" width="4.5703125" style="12" customWidth="1"/>
    <col min="3" max="3" width="13.7109375" style="12" customWidth="1"/>
    <col min="4" max="4" width="18" style="12" customWidth="1"/>
    <col min="5" max="5" width="5.42578125" style="12" hidden="1" customWidth="1"/>
    <col min="6" max="6" width="19.7109375" style="12" customWidth="1"/>
    <col min="7" max="7" width="18" style="12" customWidth="1"/>
    <col min="8" max="8" width="8.140625" style="12" hidden="1" customWidth="1"/>
    <col min="9" max="9" width="21.140625" style="12" customWidth="1"/>
    <col min="10" max="10" width="16.42578125" style="12" customWidth="1"/>
    <col min="11" max="16384" width="11.5703125" style="12"/>
  </cols>
  <sheetData>
    <row r="1" spans="1:9" ht="20.25" customHeight="1" x14ac:dyDescent="0.3">
      <c r="B1" s="25" t="s">
        <v>65</v>
      </c>
      <c r="C1" s="25"/>
      <c r="D1" s="26"/>
      <c r="E1" s="26"/>
      <c r="F1" s="26"/>
      <c r="G1" s="26"/>
      <c r="H1" s="26"/>
      <c r="I1" s="26"/>
    </row>
    <row r="2" spans="1:9" ht="15.75" x14ac:dyDescent="0.25">
      <c r="B2" s="27" t="s">
        <v>68</v>
      </c>
      <c r="C2" s="27"/>
      <c r="D2" s="26"/>
      <c r="E2" s="26"/>
      <c r="F2" s="28"/>
      <c r="G2" s="26"/>
      <c r="H2" s="26"/>
      <c r="I2" s="29">
        <f ca="1">TODAY()</f>
        <v>43742</v>
      </c>
    </row>
    <row r="3" spans="1:9" ht="24.75" customHeight="1" x14ac:dyDescent="0.25">
      <c r="B3" s="30" t="s">
        <v>66</v>
      </c>
      <c r="C3" s="30"/>
      <c r="D3" s="26"/>
      <c r="E3" s="26"/>
      <c r="F3" s="26"/>
      <c r="G3" s="26"/>
      <c r="H3" s="26"/>
      <c r="I3" s="26"/>
    </row>
    <row r="4" spans="1:9" ht="24.75" customHeight="1" x14ac:dyDescent="0.3">
      <c r="B4" s="71" t="s">
        <v>50</v>
      </c>
      <c r="C4" s="71"/>
      <c r="D4" s="71"/>
      <c r="E4" s="71"/>
      <c r="F4" s="71"/>
      <c r="G4" s="71"/>
      <c r="H4" s="31">
        <f ca="1">INDIRECT("Лист1!R"&amp;TEXT(Лист1!B16+8,0)&amp;"C3",FALSE)</f>
        <v>0</v>
      </c>
      <c r="I4" s="57"/>
    </row>
    <row r="5" spans="1:9" ht="15.75" x14ac:dyDescent="0.25">
      <c r="B5" s="70" t="str">
        <f ca="1">INDIRECT("Лист1!R"&amp;TEXT(Лист1!B16+8,0)&amp;"C4",FALSE)</f>
        <v>-</v>
      </c>
      <c r="C5" s="70"/>
      <c r="D5" s="70"/>
      <c r="E5" s="70"/>
      <c r="F5" s="70"/>
      <c r="G5" s="70"/>
      <c r="H5" s="31"/>
      <c r="I5" s="58" t="str">
        <f ca="1">IF(I6&gt;H6,"ошибка суммы!","")</f>
        <v/>
      </c>
    </row>
    <row r="6" spans="1:9" ht="24.75" customHeight="1" x14ac:dyDescent="0.3">
      <c r="B6" s="73" t="s">
        <v>59</v>
      </c>
      <c r="C6" s="73"/>
      <c r="D6" s="73"/>
      <c r="E6" s="73"/>
      <c r="F6" s="73"/>
      <c r="G6" s="73"/>
      <c r="H6" s="31">
        <f ca="1">IF(AND(H4=Лист1!C11,'Кредитный калькулятор'!H8=Лист1!B22),Лист1!C22,'Кредитный калькулятор'!H4)</f>
        <v>0</v>
      </c>
      <c r="I6" s="52"/>
    </row>
    <row r="7" spans="1:9" ht="24.75" customHeight="1" x14ac:dyDescent="0.3">
      <c r="B7" s="74" t="str">
        <f>HYPERLINK("https://www.cbr.ru/","Введите действующую ключевую ставку Банка России (%)")</f>
        <v>Введите действующую ключевую ставку Банка России (%)</v>
      </c>
      <c r="C7" s="75"/>
      <c r="D7" s="75"/>
      <c r="E7" s="75"/>
      <c r="F7" s="75"/>
      <c r="G7" s="75"/>
      <c r="H7" s="33"/>
      <c r="I7" s="53">
        <v>7.0000000000000007E-2</v>
      </c>
    </row>
    <row r="8" spans="1:9" ht="24.75" customHeight="1" x14ac:dyDescent="0.3">
      <c r="B8" s="76" t="s">
        <v>57</v>
      </c>
      <c r="C8" s="76"/>
      <c r="D8" s="76"/>
      <c r="E8" s="76"/>
      <c r="F8" s="76"/>
      <c r="G8" s="76"/>
      <c r="H8" s="34">
        <f>Лист1!B25</f>
        <v>2</v>
      </c>
      <c r="I8" s="35">
        <f ca="1">Лист1!E7</f>
        <v>0</v>
      </c>
    </row>
    <row r="9" spans="1:9" ht="24.75" customHeight="1" x14ac:dyDescent="0.3">
      <c r="B9" s="73" t="str">
        <f>"Введите срок займа "&amp;IF(ISERROR(SEARCH("кас",$B4)),"(от 1 до 36 мес.)","(от 1 до 12 мес.)")</f>
        <v>Введите срок займа (от 1 до 36 мес.)</v>
      </c>
      <c r="C9" s="73"/>
      <c r="D9" s="73"/>
      <c r="E9" s="73"/>
      <c r="F9" s="73"/>
      <c r="G9" s="73"/>
      <c r="H9" s="33">
        <f>IF(ISERROR(SEARCH("кас",$B4)),36,12)</f>
        <v>36</v>
      </c>
      <c r="I9" s="54">
        <v>12</v>
      </c>
    </row>
    <row r="10" spans="1:9" ht="24.75" customHeight="1" x14ac:dyDescent="0.3">
      <c r="B10" s="73" t="s">
        <v>58</v>
      </c>
      <c r="C10" s="73"/>
      <c r="D10" s="73"/>
      <c r="E10" s="73"/>
      <c r="F10" s="73"/>
      <c r="G10" s="73"/>
      <c r="H10" s="33"/>
      <c r="I10" s="54">
        <f ca="1">MONTH(I2)</f>
        <v>10</v>
      </c>
    </row>
    <row r="11" spans="1:9" ht="24.75" customHeight="1" x14ac:dyDescent="0.3">
      <c r="B11" s="73" t="s">
        <v>70</v>
      </c>
      <c r="C11" s="73"/>
      <c r="D11" s="73"/>
      <c r="E11" s="73"/>
      <c r="F11" s="73"/>
      <c r="G11" s="73"/>
      <c r="H11" s="33"/>
      <c r="I11" s="54">
        <v>0</v>
      </c>
    </row>
    <row r="12" spans="1:9" x14ac:dyDescent="0.25">
      <c r="B12" s="72" t="s">
        <v>42</v>
      </c>
      <c r="C12" s="72"/>
      <c r="D12" s="72"/>
      <c r="E12" s="72"/>
      <c r="F12" s="72"/>
      <c r="G12" s="72"/>
      <c r="H12" s="36"/>
      <c r="I12" s="36">
        <f>I9-I11</f>
        <v>12</v>
      </c>
    </row>
    <row r="13" spans="1:9" x14ac:dyDescent="0.25">
      <c r="B13" s="72" t="s">
        <v>53</v>
      </c>
      <c r="C13" s="72"/>
      <c r="D13" s="72"/>
      <c r="E13" s="72"/>
      <c r="F13" s="72"/>
      <c r="G13" s="72"/>
      <c r="H13" s="36"/>
      <c r="I13" s="37">
        <f ca="1">G53</f>
        <v>0</v>
      </c>
    </row>
    <row r="14" spans="1:9" ht="23.25" customHeight="1" x14ac:dyDescent="0.25">
      <c r="B14" s="38" t="s">
        <v>62</v>
      </c>
      <c r="C14" s="38"/>
      <c r="D14" s="26"/>
      <c r="E14" s="26"/>
      <c r="F14" s="26"/>
      <c r="G14" s="26"/>
      <c r="H14" s="26"/>
      <c r="I14" s="26"/>
    </row>
    <row r="15" spans="1:9" s="15" customFormat="1" ht="35.25" customHeight="1" x14ac:dyDescent="0.25">
      <c r="A15" s="14">
        <v>950000</v>
      </c>
      <c r="B15" s="39" t="s">
        <v>67</v>
      </c>
      <c r="C15" s="39" t="s">
        <v>47</v>
      </c>
      <c r="D15" s="39" t="s">
        <v>43</v>
      </c>
      <c r="E15" s="39" t="s">
        <v>44</v>
      </c>
      <c r="F15" s="39" t="s">
        <v>48</v>
      </c>
      <c r="G15" s="39" t="s">
        <v>45</v>
      </c>
      <c r="H15" s="39"/>
      <c r="I15" s="40" t="s">
        <v>49</v>
      </c>
    </row>
    <row r="16" spans="1:9" s="18" customFormat="1" ht="12.75" x14ac:dyDescent="0.2">
      <c r="A16" s="17"/>
      <c r="B16" s="41"/>
      <c r="C16" s="42">
        <v>1</v>
      </c>
      <c r="D16" s="42">
        <v>2</v>
      </c>
      <c r="E16" s="42"/>
      <c r="F16" s="42">
        <v>3</v>
      </c>
      <c r="G16" s="42">
        <v>4</v>
      </c>
      <c r="H16" s="42"/>
      <c r="I16" s="43">
        <v>5</v>
      </c>
    </row>
    <row r="17" spans="1:12" x14ac:dyDescent="0.25">
      <c r="A17" s="13">
        <f>A15-F17</f>
        <v>950000</v>
      </c>
      <c r="B17" s="44">
        <v>1</v>
      </c>
      <c r="C17" s="45" t="str">
        <f>IF(D17=0,"",IF(DATE(YEAR(I2),I10,20)&lt;I2,DATE(YEAR(I2)+1,I10+1,20),DATE(YEAR(I2),I10+1,20)))</f>
        <v/>
      </c>
      <c r="D17" s="46">
        <f>I6</f>
        <v>0</v>
      </c>
      <c r="E17" s="46">
        <v>0</v>
      </c>
      <c r="F17" s="47">
        <f>IF((I$11+1)&gt;B17,0,IF((I$9+1)&gt;B17,I$6/I$12,0))</f>
        <v>0</v>
      </c>
      <c r="G17" s="47">
        <f ca="1">$D17*I$8/12</f>
        <v>0</v>
      </c>
      <c r="H17" s="47"/>
      <c r="I17" s="48">
        <f ca="1">F17+G17</f>
        <v>0</v>
      </c>
    </row>
    <row r="18" spans="1:12" x14ac:dyDescent="0.25">
      <c r="A18" s="13">
        <f t="shared" ref="A18:A28" si="0">A17-F18</f>
        <v>950000</v>
      </c>
      <c r="B18" s="44">
        <v>2</v>
      </c>
      <c r="C18" s="45" t="str">
        <f>IF(D18=0,"",C17+30)</f>
        <v/>
      </c>
      <c r="D18" s="46">
        <f t="shared" ref="D18:D52" si="1">D17-F17</f>
        <v>0</v>
      </c>
      <c r="E18" s="46">
        <v>0</v>
      </c>
      <c r="F18" s="47">
        <f t="shared" ref="F18:F52" si="2">IF((I$11+1)&gt;B18,0,IF((I$9+1)&gt;B18,I$6/I$12,0))</f>
        <v>0</v>
      </c>
      <c r="G18" s="47">
        <f t="shared" ref="G18:G52" ca="1" si="3">D18*I$8/12</f>
        <v>0</v>
      </c>
      <c r="H18" s="47"/>
      <c r="I18" s="48">
        <f t="shared" ref="I18:I27" ca="1" si="4">F18+G18</f>
        <v>0</v>
      </c>
      <c r="J18" s="13"/>
      <c r="K18" s="13"/>
    </row>
    <row r="19" spans="1:12" x14ac:dyDescent="0.25">
      <c r="A19" s="13">
        <f t="shared" si="0"/>
        <v>950000</v>
      </c>
      <c r="B19" s="44">
        <v>3</v>
      </c>
      <c r="C19" s="45" t="str">
        <f t="shared" ref="C19:C52" si="5">IF(D19=0,"",C18+30)</f>
        <v/>
      </c>
      <c r="D19" s="46">
        <f t="shared" si="1"/>
        <v>0</v>
      </c>
      <c r="E19" s="46">
        <v>0</v>
      </c>
      <c r="F19" s="47">
        <f t="shared" si="2"/>
        <v>0</v>
      </c>
      <c r="G19" s="47">
        <f t="shared" ca="1" si="3"/>
        <v>0</v>
      </c>
      <c r="H19" s="47"/>
      <c r="I19" s="48">
        <f t="shared" ca="1" si="4"/>
        <v>0</v>
      </c>
      <c r="J19" s="13"/>
      <c r="K19" s="13"/>
    </row>
    <row r="20" spans="1:12" x14ac:dyDescent="0.25">
      <c r="A20" s="13">
        <f t="shared" si="0"/>
        <v>950000</v>
      </c>
      <c r="B20" s="44">
        <v>4</v>
      </c>
      <c r="C20" s="45" t="str">
        <f t="shared" si="5"/>
        <v/>
      </c>
      <c r="D20" s="46">
        <f t="shared" si="1"/>
        <v>0</v>
      </c>
      <c r="E20" s="46">
        <v>0</v>
      </c>
      <c r="F20" s="47">
        <f t="shared" si="2"/>
        <v>0</v>
      </c>
      <c r="G20" s="47">
        <f t="shared" ca="1" si="3"/>
        <v>0</v>
      </c>
      <c r="H20" s="47"/>
      <c r="I20" s="48">
        <f t="shared" ca="1" si="4"/>
        <v>0</v>
      </c>
      <c r="J20" s="13"/>
      <c r="K20" s="13"/>
    </row>
    <row r="21" spans="1:12" x14ac:dyDescent="0.25">
      <c r="A21" s="13">
        <f t="shared" si="0"/>
        <v>950000</v>
      </c>
      <c r="B21" s="44">
        <v>5</v>
      </c>
      <c r="C21" s="45" t="str">
        <f t="shared" si="5"/>
        <v/>
      </c>
      <c r="D21" s="46">
        <f t="shared" si="1"/>
        <v>0</v>
      </c>
      <c r="E21" s="46">
        <v>0</v>
      </c>
      <c r="F21" s="47">
        <f t="shared" si="2"/>
        <v>0</v>
      </c>
      <c r="G21" s="47">
        <f t="shared" ca="1" si="3"/>
        <v>0</v>
      </c>
      <c r="H21" s="47"/>
      <c r="I21" s="48">
        <f t="shared" ca="1" si="4"/>
        <v>0</v>
      </c>
      <c r="J21" s="13"/>
      <c r="K21" s="13"/>
    </row>
    <row r="22" spans="1:12" x14ac:dyDescent="0.25">
      <c r="A22" s="13">
        <f t="shared" si="0"/>
        <v>950000</v>
      </c>
      <c r="B22" s="44">
        <v>6</v>
      </c>
      <c r="C22" s="45" t="str">
        <f t="shared" si="5"/>
        <v/>
      </c>
      <c r="D22" s="46">
        <f t="shared" si="1"/>
        <v>0</v>
      </c>
      <c r="E22" s="46">
        <v>0</v>
      </c>
      <c r="F22" s="47">
        <f t="shared" si="2"/>
        <v>0</v>
      </c>
      <c r="G22" s="47">
        <f t="shared" ca="1" si="3"/>
        <v>0</v>
      </c>
      <c r="H22" s="47"/>
      <c r="I22" s="48">
        <f t="shared" ca="1" si="4"/>
        <v>0</v>
      </c>
      <c r="J22" s="13"/>
      <c r="K22" s="13"/>
    </row>
    <row r="23" spans="1:12" x14ac:dyDescent="0.25">
      <c r="A23" s="13">
        <f t="shared" si="0"/>
        <v>950000</v>
      </c>
      <c r="B23" s="44">
        <v>7</v>
      </c>
      <c r="C23" s="45" t="str">
        <f t="shared" si="5"/>
        <v/>
      </c>
      <c r="D23" s="46">
        <f t="shared" si="1"/>
        <v>0</v>
      </c>
      <c r="E23" s="46">
        <v>0</v>
      </c>
      <c r="F23" s="47">
        <f t="shared" si="2"/>
        <v>0</v>
      </c>
      <c r="G23" s="47">
        <f t="shared" ca="1" si="3"/>
        <v>0</v>
      </c>
      <c r="H23" s="47"/>
      <c r="I23" s="48">
        <f t="shared" ca="1" si="4"/>
        <v>0</v>
      </c>
      <c r="J23" s="13"/>
      <c r="K23" s="13"/>
    </row>
    <row r="24" spans="1:12" x14ac:dyDescent="0.25">
      <c r="A24" s="13">
        <f t="shared" si="0"/>
        <v>950000</v>
      </c>
      <c r="B24" s="44">
        <v>8</v>
      </c>
      <c r="C24" s="45" t="str">
        <f t="shared" si="5"/>
        <v/>
      </c>
      <c r="D24" s="46">
        <f t="shared" si="1"/>
        <v>0</v>
      </c>
      <c r="E24" s="46">
        <v>0</v>
      </c>
      <c r="F24" s="47">
        <f t="shared" si="2"/>
        <v>0</v>
      </c>
      <c r="G24" s="47">
        <f t="shared" ca="1" si="3"/>
        <v>0</v>
      </c>
      <c r="H24" s="47"/>
      <c r="I24" s="48">
        <f t="shared" ca="1" si="4"/>
        <v>0</v>
      </c>
      <c r="J24" s="13"/>
      <c r="K24" s="13"/>
    </row>
    <row r="25" spans="1:12" x14ac:dyDescent="0.25">
      <c r="A25" s="13">
        <f t="shared" si="0"/>
        <v>950000</v>
      </c>
      <c r="B25" s="44">
        <v>9</v>
      </c>
      <c r="C25" s="45" t="str">
        <f t="shared" si="5"/>
        <v/>
      </c>
      <c r="D25" s="46">
        <f t="shared" si="1"/>
        <v>0</v>
      </c>
      <c r="E25" s="46">
        <v>0</v>
      </c>
      <c r="F25" s="47">
        <f t="shared" si="2"/>
        <v>0</v>
      </c>
      <c r="G25" s="47">
        <f t="shared" ca="1" si="3"/>
        <v>0</v>
      </c>
      <c r="H25" s="47"/>
      <c r="I25" s="48">
        <f t="shared" ca="1" si="4"/>
        <v>0</v>
      </c>
      <c r="J25" s="13"/>
      <c r="K25" s="13"/>
    </row>
    <row r="26" spans="1:12" x14ac:dyDescent="0.25">
      <c r="A26" s="13">
        <f t="shared" si="0"/>
        <v>950000</v>
      </c>
      <c r="B26" s="44">
        <v>10</v>
      </c>
      <c r="C26" s="45" t="str">
        <f t="shared" si="5"/>
        <v/>
      </c>
      <c r="D26" s="46">
        <f t="shared" si="1"/>
        <v>0</v>
      </c>
      <c r="E26" s="46">
        <v>0</v>
      </c>
      <c r="F26" s="47">
        <f t="shared" si="2"/>
        <v>0</v>
      </c>
      <c r="G26" s="47">
        <f t="shared" ca="1" si="3"/>
        <v>0</v>
      </c>
      <c r="H26" s="47"/>
      <c r="I26" s="48">
        <f t="shared" ca="1" si="4"/>
        <v>0</v>
      </c>
      <c r="J26" s="13"/>
      <c r="K26" s="13"/>
    </row>
    <row r="27" spans="1:12" x14ac:dyDescent="0.25">
      <c r="A27" s="13">
        <f t="shared" si="0"/>
        <v>950000</v>
      </c>
      <c r="B27" s="44">
        <v>11</v>
      </c>
      <c r="C27" s="45" t="str">
        <f t="shared" si="5"/>
        <v/>
      </c>
      <c r="D27" s="46">
        <f t="shared" si="1"/>
        <v>0</v>
      </c>
      <c r="E27" s="46">
        <v>0</v>
      </c>
      <c r="F27" s="47">
        <f t="shared" si="2"/>
        <v>0</v>
      </c>
      <c r="G27" s="47">
        <f t="shared" ca="1" si="3"/>
        <v>0</v>
      </c>
      <c r="H27" s="47"/>
      <c r="I27" s="48">
        <f t="shared" ca="1" si="4"/>
        <v>0</v>
      </c>
      <c r="J27" s="13"/>
      <c r="K27" s="13"/>
      <c r="L27" s="13"/>
    </row>
    <row r="28" spans="1:12" x14ac:dyDescent="0.25">
      <c r="A28" s="13">
        <f t="shared" si="0"/>
        <v>950000</v>
      </c>
      <c r="B28" s="44">
        <v>12</v>
      </c>
      <c r="C28" s="45" t="str">
        <f t="shared" si="5"/>
        <v/>
      </c>
      <c r="D28" s="46">
        <f t="shared" si="1"/>
        <v>0</v>
      </c>
      <c r="E28" s="46">
        <v>0</v>
      </c>
      <c r="F28" s="47">
        <f t="shared" si="2"/>
        <v>0</v>
      </c>
      <c r="G28" s="47">
        <f t="shared" ca="1" si="3"/>
        <v>0</v>
      </c>
      <c r="H28" s="47"/>
      <c r="I28" s="48">
        <f ca="1">F28+G28</f>
        <v>0</v>
      </c>
    </row>
    <row r="29" spans="1:12" x14ac:dyDescent="0.25">
      <c r="A29" s="13"/>
      <c r="B29" s="44">
        <v>13</v>
      </c>
      <c r="C29" s="45" t="str">
        <f t="shared" si="5"/>
        <v/>
      </c>
      <c r="D29" s="46">
        <f t="shared" si="1"/>
        <v>0</v>
      </c>
      <c r="E29" s="46">
        <v>0</v>
      </c>
      <c r="F29" s="47">
        <f t="shared" si="2"/>
        <v>0</v>
      </c>
      <c r="G29" s="47">
        <f t="shared" ca="1" si="3"/>
        <v>0</v>
      </c>
      <c r="H29" s="47"/>
      <c r="I29" s="48">
        <f t="shared" ref="I29:I52" ca="1" si="6">F29+G29</f>
        <v>0</v>
      </c>
    </row>
    <row r="30" spans="1:12" x14ac:dyDescent="0.25">
      <c r="A30" s="13"/>
      <c r="B30" s="44">
        <v>14</v>
      </c>
      <c r="C30" s="45" t="str">
        <f t="shared" si="5"/>
        <v/>
      </c>
      <c r="D30" s="46">
        <f t="shared" si="1"/>
        <v>0</v>
      </c>
      <c r="E30" s="46">
        <v>0</v>
      </c>
      <c r="F30" s="47">
        <f t="shared" si="2"/>
        <v>0</v>
      </c>
      <c r="G30" s="47">
        <f t="shared" ca="1" si="3"/>
        <v>0</v>
      </c>
      <c r="H30" s="47"/>
      <c r="I30" s="48">
        <f t="shared" ca="1" si="6"/>
        <v>0</v>
      </c>
    </row>
    <row r="31" spans="1:12" x14ac:dyDescent="0.25">
      <c r="A31" s="13"/>
      <c r="B31" s="44">
        <v>15</v>
      </c>
      <c r="C31" s="45" t="str">
        <f t="shared" si="5"/>
        <v/>
      </c>
      <c r="D31" s="46">
        <f t="shared" si="1"/>
        <v>0</v>
      </c>
      <c r="E31" s="46">
        <v>0</v>
      </c>
      <c r="F31" s="47">
        <f t="shared" si="2"/>
        <v>0</v>
      </c>
      <c r="G31" s="47">
        <f t="shared" ca="1" si="3"/>
        <v>0</v>
      </c>
      <c r="H31" s="47"/>
      <c r="I31" s="48">
        <f t="shared" ca="1" si="6"/>
        <v>0</v>
      </c>
    </row>
    <row r="32" spans="1:12" x14ac:dyDescent="0.25">
      <c r="A32" s="13"/>
      <c r="B32" s="44">
        <v>16</v>
      </c>
      <c r="C32" s="45" t="str">
        <f t="shared" si="5"/>
        <v/>
      </c>
      <c r="D32" s="46">
        <f t="shared" si="1"/>
        <v>0</v>
      </c>
      <c r="E32" s="46">
        <v>0</v>
      </c>
      <c r="F32" s="47">
        <f t="shared" si="2"/>
        <v>0</v>
      </c>
      <c r="G32" s="47">
        <f t="shared" ca="1" si="3"/>
        <v>0</v>
      </c>
      <c r="H32" s="47"/>
      <c r="I32" s="48">
        <f t="shared" ca="1" si="6"/>
        <v>0</v>
      </c>
    </row>
    <row r="33" spans="1:9" x14ac:dyDescent="0.25">
      <c r="A33" s="13"/>
      <c r="B33" s="44">
        <v>17</v>
      </c>
      <c r="C33" s="45" t="str">
        <f t="shared" si="5"/>
        <v/>
      </c>
      <c r="D33" s="46">
        <f t="shared" si="1"/>
        <v>0</v>
      </c>
      <c r="E33" s="46">
        <v>0</v>
      </c>
      <c r="F33" s="47">
        <f t="shared" si="2"/>
        <v>0</v>
      </c>
      <c r="G33" s="47">
        <f t="shared" ca="1" si="3"/>
        <v>0</v>
      </c>
      <c r="H33" s="47"/>
      <c r="I33" s="48">
        <f t="shared" ca="1" si="6"/>
        <v>0</v>
      </c>
    </row>
    <row r="34" spans="1:9" x14ac:dyDescent="0.25">
      <c r="A34" s="13"/>
      <c r="B34" s="44">
        <v>18</v>
      </c>
      <c r="C34" s="45" t="str">
        <f t="shared" si="5"/>
        <v/>
      </c>
      <c r="D34" s="46">
        <f t="shared" si="1"/>
        <v>0</v>
      </c>
      <c r="E34" s="46">
        <v>0</v>
      </c>
      <c r="F34" s="47">
        <f t="shared" si="2"/>
        <v>0</v>
      </c>
      <c r="G34" s="47">
        <f t="shared" ca="1" si="3"/>
        <v>0</v>
      </c>
      <c r="H34" s="47"/>
      <c r="I34" s="48">
        <f t="shared" ca="1" si="6"/>
        <v>0</v>
      </c>
    </row>
    <row r="35" spans="1:9" x14ac:dyDescent="0.25">
      <c r="A35" s="13"/>
      <c r="B35" s="44">
        <v>19</v>
      </c>
      <c r="C35" s="45" t="str">
        <f t="shared" si="5"/>
        <v/>
      </c>
      <c r="D35" s="46">
        <f t="shared" si="1"/>
        <v>0</v>
      </c>
      <c r="E35" s="46">
        <v>0</v>
      </c>
      <c r="F35" s="47">
        <f t="shared" si="2"/>
        <v>0</v>
      </c>
      <c r="G35" s="47">
        <f t="shared" ca="1" si="3"/>
        <v>0</v>
      </c>
      <c r="H35" s="47"/>
      <c r="I35" s="48">
        <f t="shared" ca="1" si="6"/>
        <v>0</v>
      </c>
    </row>
    <row r="36" spans="1:9" x14ac:dyDescent="0.25">
      <c r="A36" s="13"/>
      <c r="B36" s="44">
        <v>20</v>
      </c>
      <c r="C36" s="45" t="str">
        <f t="shared" si="5"/>
        <v/>
      </c>
      <c r="D36" s="46">
        <f t="shared" si="1"/>
        <v>0</v>
      </c>
      <c r="E36" s="46">
        <v>0</v>
      </c>
      <c r="F36" s="47">
        <f t="shared" si="2"/>
        <v>0</v>
      </c>
      <c r="G36" s="47">
        <f t="shared" ca="1" si="3"/>
        <v>0</v>
      </c>
      <c r="H36" s="47"/>
      <c r="I36" s="48">
        <f t="shared" ca="1" si="6"/>
        <v>0</v>
      </c>
    </row>
    <row r="37" spans="1:9" x14ac:dyDescent="0.25">
      <c r="A37" s="13"/>
      <c r="B37" s="44">
        <v>21</v>
      </c>
      <c r="C37" s="45" t="str">
        <f t="shared" si="5"/>
        <v/>
      </c>
      <c r="D37" s="46">
        <f t="shared" si="1"/>
        <v>0</v>
      </c>
      <c r="E37" s="46">
        <v>0</v>
      </c>
      <c r="F37" s="47">
        <f t="shared" si="2"/>
        <v>0</v>
      </c>
      <c r="G37" s="47">
        <f t="shared" ca="1" si="3"/>
        <v>0</v>
      </c>
      <c r="H37" s="47"/>
      <c r="I37" s="48">
        <f t="shared" ca="1" si="6"/>
        <v>0</v>
      </c>
    </row>
    <row r="38" spans="1:9" x14ac:dyDescent="0.25">
      <c r="A38" s="13"/>
      <c r="B38" s="44">
        <v>22</v>
      </c>
      <c r="C38" s="45" t="str">
        <f t="shared" si="5"/>
        <v/>
      </c>
      <c r="D38" s="46">
        <f t="shared" si="1"/>
        <v>0</v>
      </c>
      <c r="E38" s="46">
        <v>0</v>
      </c>
      <c r="F38" s="47">
        <f t="shared" si="2"/>
        <v>0</v>
      </c>
      <c r="G38" s="47">
        <f t="shared" ca="1" si="3"/>
        <v>0</v>
      </c>
      <c r="H38" s="47"/>
      <c r="I38" s="48">
        <f t="shared" ca="1" si="6"/>
        <v>0</v>
      </c>
    </row>
    <row r="39" spans="1:9" x14ac:dyDescent="0.25">
      <c r="A39" s="13"/>
      <c r="B39" s="44">
        <v>23</v>
      </c>
      <c r="C39" s="45" t="str">
        <f t="shared" si="5"/>
        <v/>
      </c>
      <c r="D39" s="46">
        <f t="shared" si="1"/>
        <v>0</v>
      </c>
      <c r="E39" s="46">
        <v>0</v>
      </c>
      <c r="F39" s="47">
        <f t="shared" si="2"/>
        <v>0</v>
      </c>
      <c r="G39" s="47">
        <f t="shared" ca="1" si="3"/>
        <v>0</v>
      </c>
      <c r="H39" s="47"/>
      <c r="I39" s="48">
        <f t="shared" ca="1" si="6"/>
        <v>0</v>
      </c>
    </row>
    <row r="40" spans="1:9" x14ac:dyDescent="0.25">
      <c r="A40" s="13"/>
      <c r="B40" s="44">
        <v>24</v>
      </c>
      <c r="C40" s="45" t="str">
        <f t="shared" si="5"/>
        <v/>
      </c>
      <c r="D40" s="46">
        <f t="shared" si="1"/>
        <v>0</v>
      </c>
      <c r="E40" s="46">
        <v>0</v>
      </c>
      <c r="F40" s="47">
        <f t="shared" si="2"/>
        <v>0</v>
      </c>
      <c r="G40" s="47">
        <f t="shared" ca="1" si="3"/>
        <v>0</v>
      </c>
      <c r="H40" s="47"/>
      <c r="I40" s="48">
        <f t="shared" ca="1" si="6"/>
        <v>0</v>
      </c>
    </row>
    <row r="41" spans="1:9" x14ac:dyDescent="0.25">
      <c r="A41" s="13"/>
      <c r="B41" s="44">
        <v>25</v>
      </c>
      <c r="C41" s="45" t="str">
        <f t="shared" si="5"/>
        <v/>
      </c>
      <c r="D41" s="46">
        <f t="shared" si="1"/>
        <v>0</v>
      </c>
      <c r="E41" s="46">
        <v>0</v>
      </c>
      <c r="F41" s="47">
        <f t="shared" si="2"/>
        <v>0</v>
      </c>
      <c r="G41" s="47">
        <f t="shared" ca="1" si="3"/>
        <v>0</v>
      </c>
      <c r="H41" s="47"/>
      <c r="I41" s="48">
        <f t="shared" ca="1" si="6"/>
        <v>0</v>
      </c>
    </row>
    <row r="42" spans="1:9" x14ac:dyDescent="0.25">
      <c r="A42" s="13"/>
      <c r="B42" s="44">
        <v>26</v>
      </c>
      <c r="C42" s="45" t="str">
        <f t="shared" si="5"/>
        <v/>
      </c>
      <c r="D42" s="46">
        <f t="shared" si="1"/>
        <v>0</v>
      </c>
      <c r="E42" s="46">
        <v>0</v>
      </c>
      <c r="F42" s="47">
        <f t="shared" si="2"/>
        <v>0</v>
      </c>
      <c r="G42" s="47">
        <f t="shared" ca="1" si="3"/>
        <v>0</v>
      </c>
      <c r="H42" s="47"/>
      <c r="I42" s="48">
        <f t="shared" ca="1" si="6"/>
        <v>0</v>
      </c>
    </row>
    <row r="43" spans="1:9" x14ac:dyDescent="0.25">
      <c r="A43" s="13"/>
      <c r="B43" s="44">
        <v>27</v>
      </c>
      <c r="C43" s="45" t="str">
        <f t="shared" si="5"/>
        <v/>
      </c>
      <c r="D43" s="46">
        <f t="shared" si="1"/>
        <v>0</v>
      </c>
      <c r="E43" s="46">
        <v>0</v>
      </c>
      <c r="F43" s="47">
        <f t="shared" si="2"/>
        <v>0</v>
      </c>
      <c r="G43" s="47">
        <f t="shared" ca="1" si="3"/>
        <v>0</v>
      </c>
      <c r="H43" s="47"/>
      <c r="I43" s="48">
        <f t="shared" ca="1" si="6"/>
        <v>0</v>
      </c>
    </row>
    <row r="44" spans="1:9" x14ac:dyDescent="0.25">
      <c r="A44" s="13"/>
      <c r="B44" s="44">
        <v>28</v>
      </c>
      <c r="C44" s="45" t="str">
        <f t="shared" si="5"/>
        <v/>
      </c>
      <c r="D44" s="46">
        <f t="shared" si="1"/>
        <v>0</v>
      </c>
      <c r="E44" s="46">
        <v>0</v>
      </c>
      <c r="F44" s="47">
        <f t="shared" si="2"/>
        <v>0</v>
      </c>
      <c r="G44" s="47">
        <f t="shared" ca="1" si="3"/>
        <v>0</v>
      </c>
      <c r="H44" s="47"/>
      <c r="I44" s="48">
        <f t="shared" ca="1" si="6"/>
        <v>0</v>
      </c>
    </row>
    <row r="45" spans="1:9" x14ac:dyDescent="0.25">
      <c r="A45" s="13"/>
      <c r="B45" s="44">
        <v>29</v>
      </c>
      <c r="C45" s="45" t="str">
        <f t="shared" si="5"/>
        <v/>
      </c>
      <c r="D45" s="46">
        <f t="shared" si="1"/>
        <v>0</v>
      </c>
      <c r="E45" s="46">
        <v>0</v>
      </c>
      <c r="F45" s="47">
        <f t="shared" si="2"/>
        <v>0</v>
      </c>
      <c r="G45" s="47">
        <f t="shared" ca="1" si="3"/>
        <v>0</v>
      </c>
      <c r="H45" s="47"/>
      <c r="I45" s="48">
        <f t="shared" ca="1" si="6"/>
        <v>0</v>
      </c>
    </row>
    <row r="46" spans="1:9" x14ac:dyDescent="0.25">
      <c r="A46" s="13"/>
      <c r="B46" s="44">
        <v>30</v>
      </c>
      <c r="C46" s="45" t="str">
        <f t="shared" si="5"/>
        <v/>
      </c>
      <c r="D46" s="46">
        <f t="shared" si="1"/>
        <v>0</v>
      </c>
      <c r="E46" s="46">
        <v>0</v>
      </c>
      <c r="F46" s="47">
        <f t="shared" si="2"/>
        <v>0</v>
      </c>
      <c r="G46" s="47">
        <f t="shared" ca="1" si="3"/>
        <v>0</v>
      </c>
      <c r="H46" s="47"/>
      <c r="I46" s="48">
        <f t="shared" ca="1" si="6"/>
        <v>0</v>
      </c>
    </row>
    <row r="47" spans="1:9" x14ac:dyDescent="0.25">
      <c r="A47" s="13"/>
      <c r="B47" s="44">
        <v>31</v>
      </c>
      <c r="C47" s="45" t="str">
        <f t="shared" si="5"/>
        <v/>
      </c>
      <c r="D47" s="46">
        <f t="shared" si="1"/>
        <v>0</v>
      </c>
      <c r="E47" s="46">
        <v>0</v>
      </c>
      <c r="F47" s="47">
        <f t="shared" si="2"/>
        <v>0</v>
      </c>
      <c r="G47" s="47">
        <f t="shared" ca="1" si="3"/>
        <v>0</v>
      </c>
      <c r="H47" s="47"/>
      <c r="I47" s="48">
        <f t="shared" ca="1" si="6"/>
        <v>0</v>
      </c>
    </row>
    <row r="48" spans="1:9" x14ac:dyDescent="0.25">
      <c r="A48" s="13"/>
      <c r="B48" s="44">
        <v>32</v>
      </c>
      <c r="C48" s="45" t="str">
        <f t="shared" si="5"/>
        <v/>
      </c>
      <c r="D48" s="46">
        <f t="shared" si="1"/>
        <v>0</v>
      </c>
      <c r="E48" s="46">
        <v>0</v>
      </c>
      <c r="F48" s="47">
        <f t="shared" si="2"/>
        <v>0</v>
      </c>
      <c r="G48" s="47">
        <f t="shared" ca="1" si="3"/>
        <v>0</v>
      </c>
      <c r="H48" s="47"/>
      <c r="I48" s="48">
        <f t="shared" ca="1" si="6"/>
        <v>0</v>
      </c>
    </row>
    <row r="49" spans="1:9" x14ac:dyDescent="0.25">
      <c r="A49" s="13"/>
      <c r="B49" s="44">
        <v>33</v>
      </c>
      <c r="C49" s="45" t="str">
        <f t="shared" si="5"/>
        <v/>
      </c>
      <c r="D49" s="46">
        <f t="shared" si="1"/>
        <v>0</v>
      </c>
      <c r="E49" s="46">
        <v>0</v>
      </c>
      <c r="F49" s="47">
        <f t="shared" si="2"/>
        <v>0</v>
      </c>
      <c r="G49" s="47">
        <f t="shared" ca="1" si="3"/>
        <v>0</v>
      </c>
      <c r="H49" s="47"/>
      <c r="I49" s="48">
        <f t="shared" ca="1" si="6"/>
        <v>0</v>
      </c>
    </row>
    <row r="50" spans="1:9" x14ac:dyDescent="0.25">
      <c r="A50" s="13"/>
      <c r="B50" s="44">
        <v>34</v>
      </c>
      <c r="C50" s="45" t="str">
        <f t="shared" si="5"/>
        <v/>
      </c>
      <c r="D50" s="46">
        <f t="shared" si="1"/>
        <v>0</v>
      </c>
      <c r="E50" s="46">
        <v>0</v>
      </c>
      <c r="F50" s="47">
        <f t="shared" si="2"/>
        <v>0</v>
      </c>
      <c r="G50" s="47">
        <f t="shared" ca="1" si="3"/>
        <v>0</v>
      </c>
      <c r="H50" s="47"/>
      <c r="I50" s="48">
        <f t="shared" ca="1" si="6"/>
        <v>0</v>
      </c>
    </row>
    <row r="51" spans="1:9" x14ac:dyDescent="0.25">
      <c r="A51" s="13"/>
      <c r="B51" s="44">
        <v>35</v>
      </c>
      <c r="C51" s="45" t="str">
        <f t="shared" si="5"/>
        <v/>
      </c>
      <c r="D51" s="46">
        <f t="shared" si="1"/>
        <v>0</v>
      </c>
      <c r="E51" s="46">
        <v>0</v>
      </c>
      <c r="F51" s="47">
        <f t="shared" si="2"/>
        <v>0</v>
      </c>
      <c r="G51" s="47">
        <f t="shared" ca="1" si="3"/>
        <v>0</v>
      </c>
      <c r="H51" s="47"/>
      <c r="I51" s="48">
        <f t="shared" ca="1" si="6"/>
        <v>0</v>
      </c>
    </row>
    <row r="52" spans="1:9" x14ac:dyDescent="0.25">
      <c r="A52" s="13"/>
      <c r="B52" s="44">
        <v>36</v>
      </c>
      <c r="C52" s="45" t="str">
        <f t="shared" si="5"/>
        <v/>
      </c>
      <c r="D52" s="46">
        <f t="shared" si="1"/>
        <v>0</v>
      </c>
      <c r="E52" s="46">
        <v>0</v>
      </c>
      <c r="F52" s="47">
        <f t="shared" si="2"/>
        <v>0</v>
      </c>
      <c r="G52" s="47">
        <f t="shared" ca="1" si="3"/>
        <v>0</v>
      </c>
      <c r="H52" s="47"/>
      <c r="I52" s="48">
        <f t="shared" ca="1" si="6"/>
        <v>0</v>
      </c>
    </row>
    <row r="53" spans="1:9" s="16" customFormat="1" ht="18" customHeight="1" x14ac:dyDescent="0.2">
      <c r="B53" s="49"/>
      <c r="C53" s="49"/>
      <c r="D53" s="50" t="s">
        <v>46</v>
      </c>
      <c r="E53" s="51">
        <f>SUM(E17:E52)</f>
        <v>0</v>
      </c>
      <c r="F53" s="51">
        <f>SUM(F17:F52)</f>
        <v>0</v>
      </c>
      <c r="G53" s="51">
        <f ca="1">SUM(G17:G52)</f>
        <v>0</v>
      </c>
      <c r="H53" s="51"/>
      <c r="I53" s="51">
        <f ca="1">SUM(I17:I52)</f>
        <v>0</v>
      </c>
    </row>
    <row r="54" spans="1:9" ht="17.25" customHeight="1" x14ac:dyDescent="0.25">
      <c r="B54" s="68" t="str">
        <f>HYPERLINK("#Неравномерный_график!F17","Расcчитать неравномерный график платежей Вы можете на соответствующем листе")</f>
        <v>Расcчитать неравномерный график платежей Вы можете на соответствующем листе</v>
      </c>
      <c r="C54" s="69"/>
      <c r="D54" s="69"/>
      <c r="E54" s="69"/>
      <c r="F54" s="69"/>
      <c r="G54" s="69"/>
      <c r="H54" s="69"/>
      <c r="I54" s="69"/>
    </row>
    <row r="55" spans="1:9" x14ac:dyDescent="0.25">
      <c r="I55" s="13"/>
    </row>
    <row r="56" spans="1:9" x14ac:dyDescent="0.25">
      <c r="I56" s="13"/>
    </row>
  </sheetData>
  <sheetProtection algorithmName="SHA-512" hashValue="3ZRg/QGRyG21Gz/eLgxkLypfEP7DtRMKBAEbE7nFwy7Tl+gbrX25kn/FtN0kr6s2lictTSXV0yZexZ+x7v221g==" saltValue="cRiiYzGFUjNDFAddFniXSw==" spinCount="100000" sheet="1" objects="1" scenarios="1" selectLockedCells="1"/>
  <mergeCells count="11">
    <mergeCell ref="B54:I54"/>
    <mergeCell ref="B5:G5"/>
    <mergeCell ref="B4:G4"/>
    <mergeCell ref="B13:G13"/>
    <mergeCell ref="B6:G6"/>
    <mergeCell ref="B7:G7"/>
    <mergeCell ref="B9:G9"/>
    <mergeCell ref="B11:G11"/>
    <mergeCell ref="B12:G12"/>
    <mergeCell ref="B10:G10"/>
    <mergeCell ref="B8:G8"/>
  </mergeCells>
  <conditionalFormatting sqref="I9">
    <cfRule type="cellIs" dxfId="8" priority="3" operator="greaterThan">
      <formula>$H$9</formula>
    </cfRule>
  </conditionalFormatting>
  <conditionalFormatting sqref="I8">
    <cfRule type="cellIs" dxfId="7" priority="2" operator="equal">
      <formula>0</formula>
    </cfRule>
  </conditionalFormatting>
  <conditionalFormatting sqref="I6">
    <cfRule type="cellIs" dxfId="6" priority="1" operator="greaterThan">
      <formula>$H$6</formula>
    </cfRule>
  </conditionalFormatting>
  <dataValidations count="2">
    <dataValidation type="list" allowBlank="1" showInputMessage="1" showErrorMessage="1" sqref="B4:G4" xr:uid="{977AB5CC-D66F-415A-AA58-A3986A1503DC}">
      <formula1>CQAHD</formula1>
    </dataValidation>
    <dataValidation type="list" allowBlank="1" showInputMessage="1" showErrorMessage="1" sqref="B8:G8" xr:uid="{8734FBD2-410A-49A9-B204-E125BF720EE2}">
      <formula1>SLHJI</formula1>
    </dataValidation>
  </dataValidations>
  <pageMargins left="0.91" right="0.26" top="0.42" bottom="0.35433070866141736" header="0.31496062992125984" footer="0.31496062992125984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Button 3">
              <controlPr defaultSize="0" print="0" autoFill="0" autoPict="0" macro="[0]!Тарифы">
                <anchor moveWithCells="1" sizeWithCells="1">
                  <from>
                    <xdr:col>5</xdr:col>
                    <xdr:colOff>781050</xdr:colOff>
                    <xdr:row>7</xdr:row>
                    <xdr:rowOff>228600</xdr:rowOff>
                  </from>
                  <to>
                    <xdr:col>6</xdr:col>
                    <xdr:colOff>962025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8F14-BBF9-428C-A764-BCF458AE0316}">
  <sheetPr codeName="Лист6">
    <pageSetUpPr fitToPage="1"/>
  </sheetPr>
  <dimension ref="A1:L56"/>
  <sheetViews>
    <sheetView showGridLines="0" workbookViewId="0">
      <selection activeCell="F41" sqref="F41"/>
    </sheetView>
  </sheetViews>
  <sheetFormatPr defaultColWidth="11.5703125" defaultRowHeight="15" x14ac:dyDescent="0.25"/>
  <cols>
    <col min="1" max="1" width="0.7109375" style="12" customWidth="1"/>
    <col min="2" max="2" width="4.5703125" style="12" customWidth="1"/>
    <col min="3" max="3" width="13.7109375" style="12" customWidth="1"/>
    <col min="4" max="4" width="18" style="12" customWidth="1"/>
    <col min="5" max="5" width="5.42578125" style="12" hidden="1" customWidth="1"/>
    <col min="6" max="6" width="19.7109375" style="12" customWidth="1"/>
    <col min="7" max="7" width="18" style="12" customWidth="1"/>
    <col min="8" max="8" width="8.140625" style="12" hidden="1" customWidth="1"/>
    <col min="9" max="9" width="21.140625" style="12" customWidth="1"/>
    <col min="10" max="10" width="16.42578125" style="12" customWidth="1"/>
    <col min="11" max="16384" width="11.5703125" style="12"/>
  </cols>
  <sheetData>
    <row r="1" spans="1:9" ht="20.25" customHeight="1" x14ac:dyDescent="0.3">
      <c r="B1" s="25" t="s">
        <v>65</v>
      </c>
      <c r="C1" s="25"/>
      <c r="D1" s="26"/>
      <c r="E1" s="26"/>
      <c r="F1" s="26"/>
      <c r="G1" s="26"/>
      <c r="H1" s="26"/>
      <c r="I1" s="26"/>
    </row>
    <row r="2" spans="1:9" ht="15.75" x14ac:dyDescent="0.25">
      <c r="B2" s="27" t="s">
        <v>78</v>
      </c>
      <c r="C2" s="27"/>
      <c r="D2" s="26"/>
      <c r="E2" s="26"/>
      <c r="F2" s="28"/>
      <c r="G2" s="26"/>
      <c r="H2" s="26"/>
      <c r="I2" s="29">
        <f ca="1">TODAY()</f>
        <v>43742</v>
      </c>
    </row>
    <row r="3" spans="1:9" ht="24.75" customHeight="1" x14ac:dyDescent="0.25">
      <c r="B3" s="30" t="s">
        <v>66</v>
      </c>
      <c r="C3" s="30"/>
      <c r="D3" s="26"/>
      <c r="E3" s="26"/>
      <c r="F3" s="26"/>
      <c r="G3" s="26"/>
      <c r="H3" s="26"/>
      <c r="I3" s="26"/>
    </row>
    <row r="4" spans="1:9" ht="24.75" hidden="1" customHeight="1" x14ac:dyDescent="0.3">
      <c r="B4" s="78" t="str">
        <f>'Кредитный калькулятор'!B4:G4</f>
        <v>Выберите программу</v>
      </c>
      <c r="C4" s="78"/>
      <c r="D4" s="78"/>
      <c r="E4" s="78"/>
      <c r="F4" s="78"/>
      <c r="G4" s="78"/>
      <c r="H4" s="31">
        <f ca="1">INDIRECT("Лист1!R"&amp;TEXT(Лист1!B16+8,0)&amp;"C3",FALSE)</f>
        <v>0</v>
      </c>
      <c r="I4" s="32"/>
    </row>
    <row r="5" spans="1:9" ht="24.75" hidden="1" customHeight="1" x14ac:dyDescent="0.3">
      <c r="B5" s="82" t="str">
        <f ca="1">'Кредитный калькулятор'!B5:G5</f>
        <v>-</v>
      </c>
      <c r="C5" s="82"/>
      <c r="D5" s="82"/>
      <c r="E5" s="82"/>
      <c r="F5" s="82"/>
      <c r="G5" s="82"/>
      <c r="H5" s="31"/>
      <c r="I5" s="32"/>
    </row>
    <row r="6" spans="1:9" ht="24.75" hidden="1" customHeight="1" x14ac:dyDescent="0.3">
      <c r="B6" s="73" t="s">
        <v>59</v>
      </c>
      <c r="C6" s="73"/>
      <c r="D6" s="73"/>
      <c r="E6" s="73"/>
      <c r="F6" s="73"/>
      <c r="G6" s="73"/>
      <c r="H6" s="31">
        <f ca="1">IF(AND(H4=Лист1!C11,Неравномерный_график!H8=Лист1!B22),Лист1!C22,Неравномерный_график!H4)</f>
        <v>0</v>
      </c>
      <c r="I6" s="32">
        <f>'Кредитный калькулятор'!I6</f>
        <v>0</v>
      </c>
    </row>
    <row r="7" spans="1:9" ht="24.75" hidden="1" customHeight="1" x14ac:dyDescent="0.3">
      <c r="B7" s="73" t="s">
        <v>69</v>
      </c>
      <c r="C7" s="73"/>
      <c r="D7" s="73"/>
      <c r="E7" s="73"/>
      <c r="F7" s="73"/>
      <c r="G7" s="73"/>
      <c r="H7" s="33"/>
      <c r="I7" s="35">
        <f>'Кредитный калькулятор'!I7</f>
        <v>7.0000000000000007E-2</v>
      </c>
    </row>
    <row r="8" spans="1:9" ht="24.75" hidden="1" customHeight="1" x14ac:dyDescent="0.3">
      <c r="B8" s="79" t="str">
        <f>'Кредитный калькулятор'!B8:G8</f>
        <v>Выберите категорию заёмщика</v>
      </c>
      <c r="C8" s="80"/>
      <c r="D8" s="80"/>
      <c r="E8" s="80"/>
      <c r="F8" s="80"/>
      <c r="G8" s="81"/>
      <c r="H8" s="34">
        <f>Лист1!B25</f>
        <v>2</v>
      </c>
      <c r="I8" s="35">
        <f ca="1">'Кредитный калькулятор'!I8</f>
        <v>0</v>
      </c>
    </row>
    <row r="9" spans="1:9" ht="24.75" hidden="1" customHeight="1" x14ac:dyDescent="0.3">
      <c r="B9" s="73" t="str">
        <f>"Введите срок займа "&amp;IF(ISERROR(SEARCH("кас",$B4)),"(от 1 до 36 мес.)","(от 1 до 12 мес.)")</f>
        <v>Введите срок займа (от 1 до 36 мес.)</v>
      </c>
      <c r="C9" s="73"/>
      <c r="D9" s="73"/>
      <c r="E9" s="73"/>
      <c r="F9" s="73"/>
      <c r="G9" s="73"/>
      <c r="H9" s="33">
        <f>IF(ISERROR(SEARCH("кас",$B4)),36,12)</f>
        <v>36</v>
      </c>
      <c r="I9" s="33">
        <f>'Кредитный калькулятор'!I9</f>
        <v>12</v>
      </c>
    </row>
    <row r="10" spans="1:9" ht="24.75" hidden="1" customHeight="1" x14ac:dyDescent="0.3">
      <c r="B10" s="73" t="s">
        <v>58</v>
      </c>
      <c r="C10" s="73"/>
      <c r="D10" s="73"/>
      <c r="E10" s="73"/>
      <c r="F10" s="73"/>
      <c r="G10" s="73"/>
      <c r="H10" s="33"/>
      <c r="I10" s="33">
        <f ca="1">'Кредитный калькулятор'!I10</f>
        <v>10</v>
      </c>
    </row>
    <row r="11" spans="1:9" ht="24.75" hidden="1" customHeight="1" x14ac:dyDescent="0.3">
      <c r="B11" s="73" t="s">
        <v>70</v>
      </c>
      <c r="C11" s="73"/>
      <c r="D11" s="73"/>
      <c r="E11" s="73"/>
      <c r="F11" s="73"/>
      <c r="G11" s="73"/>
      <c r="H11" s="33"/>
      <c r="I11" s="33"/>
    </row>
    <row r="12" spans="1:9" hidden="1" x14ac:dyDescent="0.25">
      <c r="B12" s="72" t="s">
        <v>42</v>
      </c>
      <c r="C12" s="72"/>
      <c r="D12" s="72"/>
      <c r="E12" s="72"/>
      <c r="F12" s="72"/>
      <c r="G12" s="72"/>
      <c r="H12" s="36"/>
      <c r="I12" s="36">
        <f>I9-I11</f>
        <v>12</v>
      </c>
    </row>
    <row r="13" spans="1:9" hidden="1" x14ac:dyDescent="0.25">
      <c r="B13" s="72" t="s">
        <v>53</v>
      </c>
      <c r="C13" s="72"/>
      <c r="D13" s="72"/>
      <c r="E13" s="72"/>
      <c r="F13" s="72"/>
      <c r="G13" s="72"/>
      <c r="H13" s="36"/>
      <c r="I13" s="37">
        <f ca="1">G53</f>
        <v>0</v>
      </c>
    </row>
    <row r="14" spans="1:9" ht="75.75" customHeight="1" x14ac:dyDescent="0.25">
      <c r="B14" s="77" t="s">
        <v>79</v>
      </c>
      <c r="C14" s="77"/>
      <c r="D14" s="77"/>
      <c r="E14" s="77"/>
      <c r="F14" s="77"/>
      <c r="G14" s="77"/>
      <c r="H14" s="77"/>
      <c r="I14" s="77"/>
    </row>
    <row r="15" spans="1:9" s="15" customFormat="1" ht="35.25" customHeight="1" x14ac:dyDescent="0.25">
      <c r="A15" s="14">
        <v>950000</v>
      </c>
      <c r="B15" s="39" t="s">
        <v>67</v>
      </c>
      <c r="C15" s="39" t="s">
        <v>47</v>
      </c>
      <c r="D15" s="39" t="s">
        <v>43</v>
      </c>
      <c r="E15" s="39" t="s">
        <v>44</v>
      </c>
      <c r="F15" s="39" t="s">
        <v>48</v>
      </c>
      <c r="G15" s="39" t="str">
        <f ca="1" xml:space="preserve"> "Сумма процентов ("&amp;TEXT(I8,"0,00%")&amp;")"</f>
        <v>Сумма процентов (0,00%)</v>
      </c>
      <c r="H15" s="39"/>
      <c r="I15" s="40" t="s">
        <v>49</v>
      </c>
    </row>
    <row r="16" spans="1:9" s="18" customFormat="1" ht="12.75" x14ac:dyDescent="0.2">
      <c r="A16" s="17"/>
      <c r="B16" s="41"/>
      <c r="C16" s="42">
        <v>1</v>
      </c>
      <c r="D16" s="42">
        <v>2</v>
      </c>
      <c r="E16" s="42"/>
      <c r="F16" s="42">
        <v>3</v>
      </c>
      <c r="G16" s="42">
        <v>4</v>
      </c>
      <c r="H16" s="42"/>
      <c r="I16" s="43">
        <v>5</v>
      </c>
    </row>
    <row r="17" spans="1:12" x14ac:dyDescent="0.25">
      <c r="A17" s="13">
        <f>A15-F17</f>
        <v>950000</v>
      </c>
      <c r="B17" s="44">
        <v>1</v>
      </c>
      <c r="C17" s="45">
        <f ca="1">IF(DATE(YEAR(I2),I10,20)&lt;I2,DATE(YEAR(I2)+1,I10+1,20),DATE(YEAR(I2),I10+1,20))</f>
        <v>43789</v>
      </c>
      <c r="D17" s="46">
        <f>I6</f>
        <v>0</v>
      </c>
      <c r="E17" s="46">
        <v>0</v>
      </c>
      <c r="F17" s="55"/>
      <c r="G17" s="47">
        <f ca="1">$D17*I$8/12</f>
        <v>0</v>
      </c>
      <c r="H17" s="47"/>
      <c r="I17" s="48">
        <f ca="1">F17+G17</f>
        <v>0</v>
      </c>
    </row>
    <row r="18" spans="1:12" x14ac:dyDescent="0.25">
      <c r="A18" s="13">
        <f t="shared" ref="A18:A28" si="0">A17-F18</f>
        <v>950000</v>
      </c>
      <c r="B18" s="44">
        <v>2</v>
      </c>
      <c r="C18" s="45">
        <f ca="1">C17+30</f>
        <v>43819</v>
      </c>
      <c r="D18" s="46">
        <f t="shared" ref="D18:D52" si="1">D17-F17</f>
        <v>0</v>
      </c>
      <c r="E18" s="46">
        <v>0</v>
      </c>
      <c r="F18" s="55"/>
      <c r="G18" s="47">
        <f t="shared" ref="G18:G52" ca="1" si="2">D18*I$8/12</f>
        <v>0</v>
      </c>
      <c r="H18" s="47"/>
      <c r="I18" s="48">
        <f t="shared" ref="I18:I27" ca="1" si="3">F18+G18</f>
        <v>0</v>
      </c>
      <c r="J18" s="13"/>
      <c r="K18" s="13"/>
    </row>
    <row r="19" spans="1:12" x14ac:dyDescent="0.25">
      <c r="A19" s="13">
        <f t="shared" si="0"/>
        <v>950000</v>
      </c>
      <c r="B19" s="44">
        <v>3</v>
      </c>
      <c r="C19" s="45">
        <f t="shared" ref="C19:C52" ca="1" si="4">C18+30</f>
        <v>43849</v>
      </c>
      <c r="D19" s="46">
        <f t="shared" si="1"/>
        <v>0</v>
      </c>
      <c r="E19" s="46">
        <v>0</v>
      </c>
      <c r="F19" s="55"/>
      <c r="G19" s="47">
        <f t="shared" ca="1" si="2"/>
        <v>0</v>
      </c>
      <c r="H19" s="47"/>
      <c r="I19" s="48">
        <f t="shared" ca="1" si="3"/>
        <v>0</v>
      </c>
      <c r="J19" s="13"/>
      <c r="K19" s="13"/>
    </row>
    <row r="20" spans="1:12" x14ac:dyDescent="0.25">
      <c r="A20" s="13">
        <f t="shared" si="0"/>
        <v>950000</v>
      </c>
      <c r="B20" s="44">
        <v>4</v>
      </c>
      <c r="C20" s="45">
        <f t="shared" ca="1" si="4"/>
        <v>43879</v>
      </c>
      <c r="D20" s="46">
        <f t="shared" si="1"/>
        <v>0</v>
      </c>
      <c r="E20" s="46">
        <v>0</v>
      </c>
      <c r="F20" s="55"/>
      <c r="G20" s="47">
        <f t="shared" ca="1" si="2"/>
        <v>0</v>
      </c>
      <c r="H20" s="47"/>
      <c r="I20" s="48">
        <f t="shared" ca="1" si="3"/>
        <v>0</v>
      </c>
      <c r="J20" s="13"/>
      <c r="K20" s="13"/>
    </row>
    <row r="21" spans="1:12" x14ac:dyDescent="0.25">
      <c r="A21" s="13">
        <f t="shared" si="0"/>
        <v>950000</v>
      </c>
      <c r="B21" s="44">
        <v>5</v>
      </c>
      <c r="C21" s="45">
        <f t="shared" ca="1" si="4"/>
        <v>43909</v>
      </c>
      <c r="D21" s="46">
        <f t="shared" si="1"/>
        <v>0</v>
      </c>
      <c r="E21" s="46">
        <v>0</v>
      </c>
      <c r="F21" s="55"/>
      <c r="G21" s="47">
        <f t="shared" ca="1" si="2"/>
        <v>0</v>
      </c>
      <c r="H21" s="47"/>
      <c r="I21" s="48">
        <f t="shared" ca="1" si="3"/>
        <v>0</v>
      </c>
      <c r="J21" s="13"/>
      <c r="K21" s="13"/>
    </row>
    <row r="22" spans="1:12" x14ac:dyDescent="0.25">
      <c r="A22" s="13">
        <f t="shared" si="0"/>
        <v>950000</v>
      </c>
      <c r="B22" s="44">
        <v>6</v>
      </c>
      <c r="C22" s="45">
        <f t="shared" ca="1" si="4"/>
        <v>43939</v>
      </c>
      <c r="D22" s="46">
        <f t="shared" si="1"/>
        <v>0</v>
      </c>
      <c r="E22" s="46">
        <v>0</v>
      </c>
      <c r="F22" s="55"/>
      <c r="G22" s="47">
        <f t="shared" ca="1" si="2"/>
        <v>0</v>
      </c>
      <c r="H22" s="47"/>
      <c r="I22" s="48">
        <f t="shared" ca="1" si="3"/>
        <v>0</v>
      </c>
      <c r="J22" s="13"/>
      <c r="K22" s="13"/>
    </row>
    <row r="23" spans="1:12" x14ac:dyDescent="0.25">
      <c r="A23" s="13">
        <f t="shared" si="0"/>
        <v>950000</v>
      </c>
      <c r="B23" s="44">
        <v>7</v>
      </c>
      <c r="C23" s="45">
        <f t="shared" ca="1" si="4"/>
        <v>43969</v>
      </c>
      <c r="D23" s="46">
        <f t="shared" si="1"/>
        <v>0</v>
      </c>
      <c r="E23" s="46">
        <v>0</v>
      </c>
      <c r="F23" s="55"/>
      <c r="G23" s="47">
        <f t="shared" ca="1" si="2"/>
        <v>0</v>
      </c>
      <c r="H23" s="47"/>
      <c r="I23" s="48">
        <f t="shared" ca="1" si="3"/>
        <v>0</v>
      </c>
      <c r="J23" s="13"/>
      <c r="K23" s="13"/>
    </row>
    <row r="24" spans="1:12" x14ac:dyDescent="0.25">
      <c r="A24" s="13">
        <f t="shared" si="0"/>
        <v>950000</v>
      </c>
      <c r="B24" s="44">
        <v>8</v>
      </c>
      <c r="C24" s="45">
        <f t="shared" ca="1" si="4"/>
        <v>43999</v>
      </c>
      <c r="D24" s="46">
        <f t="shared" si="1"/>
        <v>0</v>
      </c>
      <c r="E24" s="46">
        <v>0</v>
      </c>
      <c r="F24" s="55"/>
      <c r="G24" s="47">
        <f t="shared" ca="1" si="2"/>
        <v>0</v>
      </c>
      <c r="H24" s="47"/>
      <c r="I24" s="48">
        <f t="shared" ca="1" si="3"/>
        <v>0</v>
      </c>
      <c r="J24" s="13"/>
      <c r="K24" s="13"/>
    </row>
    <row r="25" spans="1:12" x14ac:dyDescent="0.25">
      <c r="A25" s="13">
        <f t="shared" si="0"/>
        <v>950000</v>
      </c>
      <c r="B25" s="44">
        <v>9</v>
      </c>
      <c r="C25" s="45">
        <f t="shared" ca="1" si="4"/>
        <v>44029</v>
      </c>
      <c r="D25" s="46">
        <f t="shared" si="1"/>
        <v>0</v>
      </c>
      <c r="E25" s="46">
        <v>0</v>
      </c>
      <c r="F25" s="55"/>
      <c r="G25" s="47">
        <f t="shared" ca="1" si="2"/>
        <v>0</v>
      </c>
      <c r="H25" s="47"/>
      <c r="I25" s="48">
        <f t="shared" ca="1" si="3"/>
        <v>0</v>
      </c>
      <c r="J25" s="13"/>
      <c r="K25" s="13"/>
    </row>
    <row r="26" spans="1:12" x14ac:dyDescent="0.25">
      <c r="A26" s="13">
        <f t="shared" si="0"/>
        <v>950000</v>
      </c>
      <c r="B26" s="44">
        <v>10</v>
      </c>
      <c r="C26" s="45">
        <f t="shared" ca="1" si="4"/>
        <v>44059</v>
      </c>
      <c r="D26" s="46">
        <f t="shared" si="1"/>
        <v>0</v>
      </c>
      <c r="E26" s="46">
        <v>0</v>
      </c>
      <c r="F26" s="55"/>
      <c r="G26" s="47">
        <f t="shared" ca="1" si="2"/>
        <v>0</v>
      </c>
      <c r="H26" s="47"/>
      <c r="I26" s="48">
        <f t="shared" ca="1" si="3"/>
        <v>0</v>
      </c>
      <c r="J26" s="13"/>
      <c r="K26" s="13"/>
    </row>
    <row r="27" spans="1:12" x14ac:dyDescent="0.25">
      <c r="A27" s="13">
        <f t="shared" si="0"/>
        <v>950000</v>
      </c>
      <c r="B27" s="44">
        <v>11</v>
      </c>
      <c r="C27" s="45">
        <f t="shared" ca="1" si="4"/>
        <v>44089</v>
      </c>
      <c r="D27" s="46">
        <f t="shared" si="1"/>
        <v>0</v>
      </c>
      <c r="E27" s="46">
        <v>0</v>
      </c>
      <c r="F27" s="55"/>
      <c r="G27" s="47">
        <f t="shared" ca="1" si="2"/>
        <v>0</v>
      </c>
      <c r="H27" s="47"/>
      <c r="I27" s="48">
        <f t="shared" ca="1" si="3"/>
        <v>0</v>
      </c>
      <c r="J27" s="13"/>
      <c r="K27" s="13"/>
      <c r="L27" s="13"/>
    </row>
    <row r="28" spans="1:12" x14ac:dyDescent="0.25">
      <c r="A28" s="13">
        <f t="shared" si="0"/>
        <v>950000</v>
      </c>
      <c r="B28" s="44">
        <v>12</v>
      </c>
      <c r="C28" s="45">
        <f t="shared" ca="1" si="4"/>
        <v>44119</v>
      </c>
      <c r="D28" s="46">
        <f t="shared" si="1"/>
        <v>0</v>
      </c>
      <c r="E28" s="46">
        <v>0</v>
      </c>
      <c r="F28" s="55"/>
      <c r="G28" s="47">
        <f t="shared" ca="1" si="2"/>
        <v>0</v>
      </c>
      <c r="H28" s="47"/>
      <c r="I28" s="48">
        <f ca="1">F28+G28</f>
        <v>0</v>
      </c>
    </row>
    <row r="29" spans="1:12" x14ac:dyDescent="0.25">
      <c r="A29" s="13"/>
      <c r="B29" s="44">
        <v>13</v>
      </c>
      <c r="C29" s="45">
        <f t="shared" ca="1" si="4"/>
        <v>44149</v>
      </c>
      <c r="D29" s="46">
        <f t="shared" si="1"/>
        <v>0</v>
      </c>
      <c r="E29" s="46">
        <v>0</v>
      </c>
      <c r="F29" s="55"/>
      <c r="G29" s="47">
        <f t="shared" ca="1" si="2"/>
        <v>0</v>
      </c>
      <c r="H29" s="47"/>
      <c r="I29" s="48">
        <f t="shared" ref="I29:I52" ca="1" si="5">F29+G29</f>
        <v>0</v>
      </c>
    </row>
    <row r="30" spans="1:12" x14ac:dyDescent="0.25">
      <c r="A30" s="13"/>
      <c r="B30" s="44">
        <v>14</v>
      </c>
      <c r="C30" s="45">
        <f t="shared" ca="1" si="4"/>
        <v>44179</v>
      </c>
      <c r="D30" s="46">
        <f t="shared" si="1"/>
        <v>0</v>
      </c>
      <c r="E30" s="46">
        <v>0</v>
      </c>
      <c r="F30" s="55"/>
      <c r="G30" s="47">
        <f t="shared" ca="1" si="2"/>
        <v>0</v>
      </c>
      <c r="H30" s="47"/>
      <c r="I30" s="48">
        <f t="shared" ca="1" si="5"/>
        <v>0</v>
      </c>
    </row>
    <row r="31" spans="1:12" x14ac:dyDescent="0.25">
      <c r="A31" s="13"/>
      <c r="B31" s="44">
        <v>15</v>
      </c>
      <c r="C31" s="45">
        <f t="shared" ca="1" si="4"/>
        <v>44209</v>
      </c>
      <c r="D31" s="46">
        <f t="shared" si="1"/>
        <v>0</v>
      </c>
      <c r="E31" s="46">
        <v>0</v>
      </c>
      <c r="F31" s="55"/>
      <c r="G31" s="47">
        <f t="shared" ca="1" si="2"/>
        <v>0</v>
      </c>
      <c r="H31" s="47"/>
      <c r="I31" s="48">
        <f t="shared" ca="1" si="5"/>
        <v>0</v>
      </c>
    </row>
    <row r="32" spans="1:12" x14ac:dyDescent="0.25">
      <c r="A32" s="13"/>
      <c r="B32" s="44">
        <v>16</v>
      </c>
      <c r="C32" s="45">
        <f t="shared" ca="1" si="4"/>
        <v>44239</v>
      </c>
      <c r="D32" s="46">
        <f t="shared" si="1"/>
        <v>0</v>
      </c>
      <c r="E32" s="46">
        <v>0</v>
      </c>
      <c r="F32" s="55"/>
      <c r="G32" s="47">
        <f t="shared" ca="1" si="2"/>
        <v>0</v>
      </c>
      <c r="H32" s="47"/>
      <c r="I32" s="48">
        <f t="shared" ca="1" si="5"/>
        <v>0</v>
      </c>
    </row>
    <row r="33" spans="1:9" x14ac:dyDescent="0.25">
      <c r="A33" s="13"/>
      <c r="B33" s="44">
        <v>17</v>
      </c>
      <c r="C33" s="45">
        <f t="shared" ca="1" si="4"/>
        <v>44269</v>
      </c>
      <c r="D33" s="46">
        <f t="shared" si="1"/>
        <v>0</v>
      </c>
      <c r="E33" s="46">
        <v>0</v>
      </c>
      <c r="F33" s="55"/>
      <c r="G33" s="47">
        <f t="shared" ca="1" si="2"/>
        <v>0</v>
      </c>
      <c r="H33" s="47"/>
      <c r="I33" s="48">
        <f t="shared" ca="1" si="5"/>
        <v>0</v>
      </c>
    </row>
    <row r="34" spans="1:9" x14ac:dyDescent="0.25">
      <c r="A34" s="13"/>
      <c r="B34" s="44">
        <v>18</v>
      </c>
      <c r="C34" s="45">
        <f t="shared" ca="1" si="4"/>
        <v>44299</v>
      </c>
      <c r="D34" s="46">
        <f t="shared" si="1"/>
        <v>0</v>
      </c>
      <c r="E34" s="46">
        <v>0</v>
      </c>
      <c r="F34" s="55"/>
      <c r="G34" s="47">
        <f t="shared" ca="1" si="2"/>
        <v>0</v>
      </c>
      <c r="H34" s="47"/>
      <c r="I34" s="48">
        <f t="shared" ca="1" si="5"/>
        <v>0</v>
      </c>
    </row>
    <row r="35" spans="1:9" x14ac:dyDescent="0.25">
      <c r="A35" s="13"/>
      <c r="B35" s="44">
        <v>19</v>
      </c>
      <c r="C35" s="45">
        <f t="shared" ca="1" si="4"/>
        <v>44329</v>
      </c>
      <c r="D35" s="46">
        <f t="shared" si="1"/>
        <v>0</v>
      </c>
      <c r="E35" s="46">
        <v>0</v>
      </c>
      <c r="F35" s="55"/>
      <c r="G35" s="47">
        <f t="shared" ca="1" si="2"/>
        <v>0</v>
      </c>
      <c r="H35" s="47"/>
      <c r="I35" s="48">
        <f t="shared" ca="1" si="5"/>
        <v>0</v>
      </c>
    </row>
    <row r="36" spans="1:9" x14ac:dyDescent="0.25">
      <c r="A36" s="13"/>
      <c r="B36" s="44">
        <v>20</v>
      </c>
      <c r="C36" s="45">
        <f t="shared" ca="1" si="4"/>
        <v>44359</v>
      </c>
      <c r="D36" s="46">
        <f t="shared" si="1"/>
        <v>0</v>
      </c>
      <c r="E36" s="46">
        <v>0</v>
      </c>
      <c r="F36" s="55"/>
      <c r="G36" s="47">
        <f t="shared" ca="1" si="2"/>
        <v>0</v>
      </c>
      <c r="H36" s="47"/>
      <c r="I36" s="48">
        <f t="shared" ca="1" si="5"/>
        <v>0</v>
      </c>
    </row>
    <row r="37" spans="1:9" x14ac:dyDescent="0.25">
      <c r="A37" s="13"/>
      <c r="B37" s="44">
        <v>21</v>
      </c>
      <c r="C37" s="45">
        <f t="shared" ca="1" si="4"/>
        <v>44389</v>
      </c>
      <c r="D37" s="46">
        <f t="shared" si="1"/>
        <v>0</v>
      </c>
      <c r="E37" s="46">
        <v>0</v>
      </c>
      <c r="F37" s="55"/>
      <c r="G37" s="47">
        <f t="shared" ca="1" si="2"/>
        <v>0</v>
      </c>
      <c r="H37" s="47"/>
      <c r="I37" s="48">
        <f t="shared" ca="1" si="5"/>
        <v>0</v>
      </c>
    </row>
    <row r="38" spans="1:9" x14ac:dyDescent="0.25">
      <c r="A38" s="13"/>
      <c r="B38" s="44">
        <v>22</v>
      </c>
      <c r="C38" s="45">
        <f t="shared" ca="1" si="4"/>
        <v>44419</v>
      </c>
      <c r="D38" s="46">
        <f t="shared" si="1"/>
        <v>0</v>
      </c>
      <c r="E38" s="46">
        <v>0</v>
      </c>
      <c r="F38" s="55"/>
      <c r="G38" s="47">
        <f t="shared" ca="1" si="2"/>
        <v>0</v>
      </c>
      <c r="H38" s="47"/>
      <c r="I38" s="48">
        <f t="shared" ca="1" si="5"/>
        <v>0</v>
      </c>
    </row>
    <row r="39" spans="1:9" x14ac:dyDescent="0.25">
      <c r="A39" s="13"/>
      <c r="B39" s="44">
        <v>23</v>
      </c>
      <c r="C39" s="45">
        <f t="shared" ca="1" si="4"/>
        <v>44449</v>
      </c>
      <c r="D39" s="46">
        <f t="shared" si="1"/>
        <v>0</v>
      </c>
      <c r="E39" s="46">
        <v>0</v>
      </c>
      <c r="F39" s="55"/>
      <c r="G39" s="47">
        <f t="shared" ca="1" si="2"/>
        <v>0</v>
      </c>
      <c r="H39" s="47"/>
      <c r="I39" s="48">
        <f t="shared" ca="1" si="5"/>
        <v>0</v>
      </c>
    </row>
    <row r="40" spans="1:9" x14ac:dyDescent="0.25">
      <c r="A40" s="13"/>
      <c r="B40" s="44">
        <v>24</v>
      </c>
      <c r="C40" s="45">
        <f t="shared" ca="1" si="4"/>
        <v>44479</v>
      </c>
      <c r="D40" s="46">
        <f t="shared" si="1"/>
        <v>0</v>
      </c>
      <c r="E40" s="46">
        <v>0</v>
      </c>
      <c r="F40" s="55"/>
      <c r="G40" s="47">
        <f t="shared" ca="1" si="2"/>
        <v>0</v>
      </c>
      <c r="H40" s="47"/>
      <c r="I40" s="48">
        <f t="shared" ca="1" si="5"/>
        <v>0</v>
      </c>
    </row>
    <row r="41" spans="1:9" x14ac:dyDescent="0.25">
      <c r="A41" s="13"/>
      <c r="B41" s="44">
        <v>25</v>
      </c>
      <c r="C41" s="45">
        <f t="shared" ca="1" si="4"/>
        <v>44509</v>
      </c>
      <c r="D41" s="46">
        <f t="shared" si="1"/>
        <v>0</v>
      </c>
      <c r="E41" s="46">
        <v>0</v>
      </c>
      <c r="F41" s="55"/>
      <c r="G41" s="47">
        <f t="shared" ca="1" si="2"/>
        <v>0</v>
      </c>
      <c r="H41" s="47"/>
      <c r="I41" s="48">
        <f t="shared" ca="1" si="5"/>
        <v>0</v>
      </c>
    </row>
    <row r="42" spans="1:9" x14ac:dyDescent="0.25">
      <c r="A42" s="13"/>
      <c r="B42" s="44">
        <v>26</v>
      </c>
      <c r="C42" s="45">
        <f t="shared" ca="1" si="4"/>
        <v>44539</v>
      </c>
      <c r="D42" s="46">
        <f t="shared" si="1"/>
        <v>0</v>
      </c>
      <c r="E42" s="46">
        <v>0</v>
      </c>
      <c r="F42" s="55"/>
      <c r="G42" s="47">
        <f t="shared" ca="1" si="2"/>
        <v>0</v>
      </c>
      <c r="H42" s="47"/>
      <c r="I42" s="48">
        <f t="shared" ca="1" si="5"/>
        <v>0</v>
      </c>
    </row>
    <row r="43" spans="1:9" x14ac:dyDescent="0.25">
      <c r="A43" s="13"/>
      <c r="B43" s="44">
        <v>27</v>
      </c>
      <c r="C43" s="45">
        <f t="shared" ca="1" si="4"/>
        <v>44569</v>
      </c>
      <c r="D43" s="46">
        <f t="shared" si="1"/>
        <v>0</v>
      </c>
      <c r="E43" s="46">
        <v>0</v>
      </c>
      <c r="F43" s="55"/>
      <c r="G43" s="47">
        <f t="shared" ca="1" si="2"/>
        <v>0</v>
      </c>
      <c r="H43" s="47"/>
      <c r="I43" s="48">
        <f t="shared" ca="1" si="5"/>
        <v>0</v>
      </c>
    </row>
    <row r="44" spans="1:9" x14ac:dyDescent="0.25">
      <c r="A44" s="13"/>
      <c r="B44" s="44">
        <v>28</v>
      </c>
      <c r="C44" s="45">
        <f t="shared" ca="1" si="4"/>
        <v>44599</v>
      </c>
      <c r="D44" s="46">
        <f t="shared" si="1"/>
        <v>0</v>
      </c>
      <c r="E44" s="46">
        <v>0</v>
      </c>
      <c r="F44" s="55"/>
      <c r="G44" s="47">
        <f t="shared" ca="1" si="2"/>
        <v>0</v>
      </c>
      <c r="H44" s="47"/>
      <c r="I44" s="48">
        <f t="shared" ca="1" si="5"/>
        <v>0</v>
      </c>
    </row>
    <row r="45" spans="1:9" x14ac:dyDescent="0.25">
      <c r="A45" s="13"/>
      <c r="B45" s="44">
        <v>29</v>
      </c>
      <c r="C45" s="45">
        <f t="shared" ca="1" si="4"/>
        <v>44629</v>
      </c>
      <c r="D45" s="46">
        <f t="shared" si="1"/>
        <v>0</v>
      </c>
      <c r="E45" s="46">
        <v>0</v>
      </c>
      <c r="F45" s="55"/>
      <c r="G45" s="47">
        <f t="shared" ca="1" si="2"/>
        <v>0</v>
      </c>
      <c r="H45" s="47"/>
      <c r="I45" s="48">
        <f t="shared" ca="1" si="5"/>
        <v>0</v>
      </c>
    </row>
    <row r="46" spans="1:9" x14ac:dyDescent="0.25">
      <c r="A46" s="13"/>
      <c r="B46" s="44">
        <v>30</v>
      </c>
      <c r="C46" s="45">
        <f t="shared" ca="1" si="4"/>
        <v>44659</v>
      </c>
      <c r="D46" s="46">
        <f t="shared" si="1"/>
        <v>0</v>
      </c>
      <c r="E46" s="46">
        <v>0</v>
      </c>
      <c r="F46" s="55"/>
      <c r="G46" s="47">
        <f t="shared" ca="1" si="2"/>
        <v>0</v>
      </c>
      <c r="H46" s="47"/>
      <c r="I46" s="48">
        <f t="shared" ca="1" si="5"/>
        <v>0</v>
      </c>
    </row>
    <row r="47" spans="1:9" x14ac:dyDescent="0.25">
      <c r="A47" s="13"/>
      <c r="B47" s="44">
        <v>31</v>
      </c>
      <c r="C47" s="45">
        <f t="shared" ca="1" si="4"/>
        <v>44689</v>
      </c>
      <c r="D47" s="46">
        <f t="shared" si="1"/>
        <v>0</v>
      </c>
      <c r="E47" s="46">
        <v>0</v>
      </c>
      <c r="F47" s="55"/>
      <c r="G47" s="47">
        <f t="shared" ca="1" si="2"/>
        <v>0</v>
      </c>
      <c r="H47" s="47"/>
      <c r="I47" s="48">
        <f t="shared" ca="1" si="5"/>
        <v>0</v>
      </c>
    </row>
    <row r="48" spans="1:9" x14ac:dyDescent="0.25">
      <c r="A48" s="13"/>
      <c r="B48" s="44">
        <v>32</v>
      </c>
      <c r="C48" s="45">
        <f t="shared" ca="1" si="4"/>
        <v>44719</v>
      </c>
      <c r="D48" s="46">
        <f t="shared" si="1"/>
        <v>0</v>
      </c>
      <c r="E48" s="46">
        <v>0</v>
      </c>
      <c r="F48" s="55"/>
      <c r="G48" s="47">
        <f t="shared" ca="1" si="2"/>
        <v>0</v>
      </c>
      <c r="H48" s="47"/>
      <c r="I48" s="48">
        <f t="shared" ca="1" si="5"/>
        <v>0</v>
      </c>
    </row>
    <row r="49" spans="1:9" x14ac:dyDescent="0.25">
      <c r="A49" s="13"/>
      <c r="B49" s="44">
        <v>33</v>
      </c>
      <c r="C49" s="45">
        <f t="shared" ca="1" si="4"/>
        <v>44749</v>
      </c>
      <c r="D49" s="46">
        <f t="shared" si="1"/>
        <v>0</v>
      </c>
      <c r="E49" s="46">
        <v>0</v>
      </c>
      <c r="F49" s="55"/>
      <c r="G49" s="47">
        <f t="shared" ca="1" si="2"/>
        <v>0</v>
      </c>
      <c r="H49" s="47"/>
      <c r="I49" s="48">
        <f t="shared" ca="1" si="5"/>
        <v>0</v>
      </c>
    </row>
    <row r="50" spans="1:9" x14ac:dyDescent="0.25">
      <c r="A50" s="13"/>
      <c r="B50" s="44">
        <v>34</v>
      </c>
      <c r="C50" s="45">
        <f t="shared" ca="1" si="4"/>
        <v>44779</v>
      </c>
      <c r="D50" s="46">
        <f t="shared" si="1"/>
        <v>0</v>
      </c>
      <c r="E50" s="46">
        <v>0</v>
      </c>
      <c r="F50" s="55"/>
      <c r="G50" s="47">
        <f t="shared" ca="1" si="2"/>
        <v>0</v>
      </c>
      <c r="H50" s="47"/>
      <c r="I50" s="48">
        <f t="shared" ca="1" si="5"/>
        <v>0</v>
      </c>
    </row>
    <row r="51" spans="1:9" x14ac:dyDescent="0.25">
      <c r="A51" s="13"/>
      <c r="B51" s="44">
        <v>35</v>
      </c>
      <c r="C51" s="45">
        <f t="shared" ca="1" si="4"/>
        <v>44809</v>
      </c>
      <c r="D51" s="46">
        <f t="shared" si="1"/>
        <v>0</v>
      </c>
      <c r="E51" s="46">
        <v>0</v>
      </c>
      <c r="F51" s="55"/>
      <c r="G51" s="47">
        <f t="shared" ca="1" si="2"/>
        <v>0</v>
      </c>
      <c r="H51" s="47"/>
      <c r="I51" s="48">
        <f t="shared" ca="1" si="5"/>
        <v>0</v>
      </c>
    </row>
    <row r="52" spans="1:9" x14ac:dyDescent="0.25">
      <c r="A52" s="13"/>
      <c r="B52" s="44">
        <v>36</v>
      </c>
      <c r="C52" s="45">
        <f t="shared" ca="1" si="4"/>
        <v>44839</v>
      </c>
      <c r="D52" s="46">
        <f t="shared" si="1"/>
        <v>0</v>
      </c>
      <c r="E52" s="46">
        <v>0</v>
      </c>
      <c r="F52" s="55"/>
      <c r="G52" s="47">
        <f t="shared" ca="1" si="2"/>
        <v>0</v>
      </c>
      <c r="H52" s="47"/>
      <c r="I52" s="48">
        <f t="shared" ca="1" si="5"/>
        <v>0</v>
      </c>
    </row>
    <row r="53" spans="1:9" s="16" customFormat="1" ht="18" customHeight="1" x14ac:dyDescent="0.2">
      <c r="B53" s="49"/>
      <c r="C53" s="49"/>
      <c r="D53" s="50" t="s">
        <v>46</v>
      </c>
      <c r="E53" s="51">
        <f>SUM(E17:E52)</f>
        <v>0</v>
      </c>
      <c r="F53" s="51">
        <f>SUM(F17:F52)</f>
        <v>0</v>
      </c>
      <c r="G53" s="51">
        <f ca="1">SUM(G17:G52)</f>
        <v>0</v>
      </c>
      <c r="H53" s="51"/>
      <c r="I53" s="51">
        <f ca="1">SUM(I17:I52)</f>
        <v>0</v>
      </c>
    </row>
    <row r="55" spans="1:9" x14ac:dyDescent="0.25">
      <c r="I55" s="13"/>
    </row>
    <row r="56" spans="1:9" x14ac:dyDescent="0.25">
      <c r="I56" s="13"/>
    </row>
  </sheetData>
  <sheetProtection algorithmName="SHA-512" hashValue="hmuw8Ajmi4ryUCfDTFx/9xBtvkv4VFddik6Pv7zbkxLr4q+RVQnjgMnp5IsnM2Ce8RbM7ZwjCPXRIxvPOTx/1w==" saltValue="U4o/doTAHGULLxMzkT7vhw==" spinCount="100000" sheet="1" objects="1" scenarios="1" selectLockedCells="1"/>
  <mergeCells count="11">
    <mergeCell ref="B14:I14"/>
    <mergeCell ref="B11:G11"/>
    <mergeCell ref="B12:G12"/>
    <mergeCell ref="B13:G13"/>
    <mergeCell ref="B4:G4"/>
    <mergeCell ref="B6:G6"/>
    <mergeCell ref="B7:G7"/>
    <mergeCell ref="B8:G8"/>
    <mergeCell ref="B9:G9"/>
    <mergeCell ref="B10:G10"/>
    <mergeCell ref="B5:G5"/>
  </mergeCells>
  <conditionalFormatting sqref="I9">
    <cfRule type="cellIs" dxfId="5" priority="6" operator="greaterThan">
      <formula>$H$9</formula>
    </cfRule>
  </conditionalFormatting>
  <conditionalFormatting sqref="I8">
    <cfRule type="cellIs" dxfId="4" priority="5" operator="equal">
      <formula>0</formula>
    </cfRule>
  </conditionalFormatting>
  <conditionalFormatting sqref="I6">
    <cfRule type="cellIs" dxfId="3" priority="4" operator="greaterThan">
      <formula>$H$6</formula>
    </cfRule>
  </conditionalFormatting>
  <conditionalFormatting sqref="F53">
    <cfRule type="cellIs" dxfId="2" priority="1" operator="equal">
      <formula>$I$6</formula>
    </cfRule>
    <cfRule type="cellIs" dxfId="1" priority="2" operator="greaterThan">
      <formula>$I$6</formula>
    </cfRule>
    <cfRule type="cellIs" dxfId="0" priority="3" operator="lessThan">
      <formula>$I$6</formula>
    </cfRule>
  </conditionalFormatting>
  <dataValidations count="2">
    <dataValidation type="list" allowBlank="1" showInputMessage="1" showErrorMessage="1" sqref="B8:G8" xr:uid="{6C4A4783-BA94-44EC-807B-4302D11E45AE}">
      <formula1>SLHJI</formula1>
    </dataValidation>
    <dataValidation type="list" allowBlank="1" showInputMessage="1" showErrorMessage="1" sqref="B4:G4" xr:uid="{6958EEA7-884B-40A4-B6EC-460C14A085A2}">
      <formula1>CQAHD</formula1>
    </dataValidation>
  </dataValidations>
  <pageMargins left="0.70866141732283472" right="0.27559055118110237" top="0.51181102362204722" bottom="0.35433070866141736" header="0.31496062992125984" footer="0.31496062992125984"/>
  <pageSetup paperSize="9" scale="9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5CE60-A048-453F-B62D-D5A0A3E5C76C}">
  <sheetPr codeName="Лист3"/>
  <dimension ref="A1:E25"/>
  <sheetViews>
    <sheetView workbookViewId="0">
      <selection activeCell="E14" sqref="E14"/>
    </sheetView>
  </sheetViews>
  <sheetFormatPr defaultRowHeight="15" x14ac:dyDescent="0.25"/>
  <cols>
    <col min="1" max="1" width="42.140625" customWidth="1"/>
    <col min="2" max="5" width="25.42578125" customWidth="1"/>
  </cols>
  <sheetData>
    <row r="1" spans="1:5" ht="30" customHeight="1" x14ac:dyDescent="0.25">
      <c r="A1" s="22">
        <f>'Кредитный калькулятор'!I7</f>
        <v>7.0000000000000007E-2</v>
      </c>
      <c r="B1" s="3" t="str">
        <f>A19</f>
        <v>Выберите категорию заёмщика</v>
      </c>
      <c r="C1" s="3" t="str">
        <f>A20</f>
        <v>Приоритетная категория (п.2 прил.4)*</v>
      </c>
      <c r="D1" s="3" t="str">
        <f>A21</f>
        <v>Приоритетный вид деятельности (п.1 прил.4)</v>
      </c>
      <c r="E1" s="3" t="str">
        <f>A22</f>
        <v>Нет в перечне приоритетов*</v>
      </c>
    </row>
    <row r="2" spans="1:5" x14ac:dyDescent="0.25">
      <c r="A2" t="str">
        <f>A10</f>
        <v>Выберите программу</v>
      </c>
      <c r="B2" s="20">
        <v>0</v>
      </c>
      <c r="C2" s="20">
        <v>0</v>
      </c>
      <c r="D2" s="20">
        <v>0</v>
      </c>
      <c r="E2" s="20">
        <v>0</v>
      </c>
    </row>
    <row r="3" spans="1:5" x14ac:dyDescent="0.25">
      <c r="A3" t="str">
        <f t="shared" ref="A3:A5" si="0">A11</f>
        <v>Общая (основная) программа</v>
      </c>
      <c r="B3" s="20">
        <v>0</v>
      </c>
      <c r="C3" s="21">
        <f>$A$1*1</f>
        <v>7.0000000000000007E-2</v>
      </c>
      <c r="D3" s="20">
        <f>MROUND($A$1*1.35-0.00025,0.0005)</f>
        <v>9.4500000000000001E-2</v>
      </c>
      <c r="E3" s="20">
        <f>MROUND($A$1*1.7-0.00025,0.0005)</f>
        <v>0.11900000000000001</v>
      </c>
    </row>
    <row r="4" spans="1:5" x14ac:dyDescent="0.25">
      <c r="A4" t="str">
        <f t="shared" si="0"/>
        <v>"Начни своё дело" (спецпрограмма)</v>
      </c>
      <c r="B4" s="20">
        <v>0</v>
      </c>
      <c r="C4" s="20">
        <f>MROUND($A$1*1.5-0.00025,0.0005)</f>
        <v>0.105</v>
      </c>
      <c r="D4" s="20">
        <f>MROUND($A$1*1.5-0.00025,0.0005)</f>
        <v>0.105</v>
      </c>
      <c r="E4" s="20">
        <f>MROUND($A$1*2-0.00025,0.0005)</f>
        <v>0.14000000000000001</v>
      </c>
    </row>
    <row r="5" spans="1:5" x14ac:dyDescent="0.25">
      <c r="A5" t="str">
        <f t="shared" si="0"/>
        <v>"На приобретение онлайн-кассы"</v>
      </c>
      <c r="B5" s="20">
        <v>0</v>
      </c>
      <c r="C5" s="20">
        <f>MROUND($A$1*1.5-0.00025,0.0005)</f>
        <v>0.105</v>
      </c>
      <c r="D5" s="20">
        <f>MROUND($A$1*1.5-0.00025,0.0005)</f>
        <v>0.105</v>
      </c>
      <c r="E5" s="20">
        <f>MROUND($A$1*2-0.00025,0.0005)</f>
        <v>0.14000000000000001</v>
      </c>
    </row>
    <row r="6" spans="1:5" ht="15.75" thickBot="1" x14ac:dyDescent="0.3"/>
    <row r="7" spans="1:5" ht="15.75" thickBot="1" x14ac:dyDescent="0.3">
      <c r="E7" s="23">
        <f ca="1">INDIRECT("R"&amp;B16&amp;"C"&amp;B25,FALSE)</f>
        <v>0</v>
      </c>
    </row>
    <row r="9" spans="1:5" x14ac:dyDescent="0.25">
      <c r="A9" s="2" t="s">
        <v>51</v>
      </c>
      <c r="B9" s="2" t="s">
        <v>55</v>
      </c>
    </row>
    <row r="10" spans="1:5" x14ac:dyDescent="0.25">
      <c r="A10" t="s">
        <v>50</v>
      </c>
      <c r="B10">
        <f>IF(EXACT(A10,'Кредитный калькулятор'!B$4),2,0)</f>
        <v>2</v>
      </c>
      <c r="D10" t="s">
        <v>72</v>
      </c>
    </row>
    <row r="11" spans="1:5" x14ac:dyDescent="0.25">
      <c r="A11" t="s">
        <v>63</v>
      </c>
      <c r="B11">
        <f>IF(EXACT(A11,'Кредитный калькулятор'!B$4),3,0)</f>
        <v>0</v>
      </c>
      <c r="C11" s="24">
        <v>5000000</v>
      </c>
      <c r="D11" t="s">
        <v>74</v>
      </c>
    </row>
    <row r="12" spans="1:5" x14ac:dyDescent="0.25">
      <c r="A12" t="s">
        <v>64</v>
      </c>
      <c r="B12">
        <f>IF(EXACT(A12,'Кредитный калькулятор'!B$4),4,0)</f>
        <v>0</v>
      </c>
      <c r="C12" s="24">
        <v>500000</v>
      </c>
      <c r="D12" t="s">
        <v>75</v>
      </c>
    </row>
    <row r="13" spans="1:5" x14ac:dyDescent="0.25">
      <c r="A13" t="s">
        <v>52</v>
      </c>
      <c r="B13">
        <f>IF(EXACT(A13,'Кредитный калькулятор'!B$4),5,0)</f>
        <v>0</v>
      </c>
      <c r="C13" s="24">
        <v>100000</v>
      </c>
      <c r="D13" t="s">
        <v>76</v>
      </c>
    </row>
    <row r="15" spans="1:5" ht="15.75" thickBot="1" x14ac:dyDescent="0.3"/>
    <row r="16" spans="1:5" ht="15.75" thickBot="1" x14ac:dyDescent="0.3">
      <c r="B16" s="19">
        <f>SUM(B10:B15)</f>
        <v>2</v>
      </c>
    </row>
    <row r="18" spans="1:3" x14ac:dyDescent="0.25">
      <c r="A18" s="2" t="s">
        <v>54</v>
      </c>
    </row>
    <row r="19" spans="1:3" x14ac:dyDescent="0.25">
      <c r="A19" t="s">
        <v>57</v>
      </c>
      <c r="B19">
        <f>IF(EXACT(A19,'Кредитный калькулятор'!B$8),2,0)</f>
        <v>2</v>
      </c>
    </row>
    <row r="20" spans="1:3" x14ac:dyDescent="0.25">
      <c r="A20" t="s">
        <v>61</v>
      </c>
      <c r="B20">
        <f>IF(EXACT(A20,'Кредитный калькулятор'!B$8),3,0)</f>
        <v>0</v>
      </c>
    </row>
    <row r="21" spans="1:3" x14ac:dyDescent="0.25">
      <c r="A21" t="s">
        <v>56</v>
      </c>
      <c r="B21">
        <f>IF(EXACT(A21,'Кредитный калькулятор'!B$8),4,0)</f>
        <v>0</v>
      </c>
    </row>
    <row r="22" spans="1:3" x14ac:dyDescent="0.25">
      <c r="A22" t="s">
        <v>60</v>
      </c>
      <c r="B22">
        <f>IF(EXACT(A22,'Кредитный калькулятор'!B$8),5,0)</f>
        <v>0</v>
      </c>
      <c r="C22" s="24">
        <v>3000000</v>
      </c>
    </row>
    <row r="24" spans="1:3" ht="15.75" thickBot="1" x14ac:dyDescent="0.3"/>
    <row r="25" spans="1:3" ht="15.75" thickBot="1" x14ac:dyDescent="0.3">
      <c r="B25" s="19">
        <f>SUM(B19:B24)</f>
        <v>2</v>
      </c>
    </row>
  </sheetData>
  <sheetProtection algorithmName="SHA-512" hashValue="1w1S4y47UE4a5Usie8YZxbgK+v2a4GKB0NsGce8gvOB/aGr9Mf7aO9VfY7HPXbSLkUkxByP/PdXz77ZFLGYIXw==" saltValue="FP31ymai5Rt5I43LcC6d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Главная</vt:lpstr>
      <vt:lpstr>Тест-опросник</vt:lpstr>
      <vt:lpstr>Кредитный калькулятор</vt:lpstr>
      <vt:lpstr>Неравномерный_график</vt:lpstr>
      <vt:lpstr>Лист1</vt:lpstr>
      <vt:lpstr>CQAHD</vt:lpstr>
      <vt:lpstr>SLHJI</vt:lpstr>
      <vt:lpstr>Неравномерный</vt:lpstr>
      <vt:lpstr>'Кредитный калькулятор'!Область_печати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Bolshukhin</dc:creator>
  <cp:lastModifiedBy>Alexandr Bolshukhin</cp:lastModifiedBy>
  <cp:lastPrinted>2019-09-19T10:34:22Z</cp:lastPrinted>
  <dcterms:created xsi:type="dcterms:W3CDTF">2019-09-11T12:59:07Z</dcterms:created>
  <dcterms:modified xsi:type="dcterms:W3CDTF">2019-10-04T06:58:26Z</dcterms:modified>
</cp:coreProperties>
</file>